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upo Publica\Documents\Cálculos\"/>
    </mc:Choice>
  </mc:AlternateContent>
  <xr:revisionPtr revIDLastSave="0" documentId="13_ncr:1_{8A2EE35D-04E0-4277-88B7-65181AF78453}" xr6:coauthVersionLast="47" xr6:coauthVersionMax="47" xr10:uidLastSave="{00000000-0000-0000-0000-000000000000}"/>
  <bookViews>
    <workbookView xWindow="216" yWindow="1044" windowWidth="23232" windowHeight="11268" activeTab="1" xr2:uid="{00000000-000D-0000-FFFF-FFFF00000000}"/>
  </bookViews>
  <sheets>
    <sheet name="MDF 12º - Aplicavel para 2022" sheetId="6" r:id="rId1"/>
    <sheet name="MDF 13º - Aplicavel para 2023" sheetId="9" r:id="rId2"/>
    <sheet name="Planilha3" sheetId="8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9" l="1"/>
  <c r="C17" i="9"/>
  <c r="C14" i="9"/>
  <c r="C15" i="9"/>
  <c r="C44" i="9"/>
  <c r="C52" i="9" s="1"/>
  <c r="F59" i="9"/>
  <c r="C18" i="9"/>
  <c r="C51" i="9"/>
  <c r="C35" i="9"/>
  <c r="C55" i="9"/>
  <c r="F12" i="6"/>
  <c r="C19" i="6"/>
  <c r="C17" i="6"/>
  <c r="C7" i="6"/>
  <c r="C14" i="6"/>
  <c r="C15" i="6"/>
  <c r="C13" i="6"/>
  <c r="F22" i="9"/>
  <c r="F23" i="9"/>
  <c r="F24" i="9"/>
  <c r="F25" i="9"/>
  <c r="F21" i="9"/>
  <c r="F19" i="9"/>
  <c r="C36" i="9"/>
  <c r="E57" i="9"/>
  <c r="B59" i="9"/>
  <c r="B57" i="9"/>
  <c r="B54" i="9"/>
  <c r="B51" i="9"/>
  <c r="B55" i="9"/>
  <c r="B53" i="9"/>
  <c r="C13" i="9" l="1"/>
  <c r="C16" i="6"/>
  <c r="C37" i="9"/>
  <c r="F13" i="9"/>
  <c r="C27" i="9" l="1"/>
  <c r="C57" i="9" s="1"/>
  <c r="F32" i="9"/>
  <c r="F7" i="6" s="1"/>
  <c r="C54" i="9"/>
  <c r="E24" i="9"/>
  <c r="E23" i="9"/>
  <c r="E22" i="9"/>
  <c r="E21" i="9"/>
  <c r="E19" i="9"/>
  <c r="F57" i="9" l="1"/>
  <c r="F58" i="9" s="1"/>
  <c r="F60" i="9" s="1"/>
  <c r="E60" i="9" s="1"/>
  <c r="F18" i="9"/>
  <c r="C12" i="6"/>
  <c r="C34" i="9" l="1"/>
  <c r="C53" i="9" s="1"/>
  <c r="F62" i="9"/>
  <c r="C58" i="9"/>
  <c r="C3" i="6"/>
  <c r="C50" i="9"/>
  <c r="F11" i="6"/>
  <c r="F15" i="6"/>
  <c r="C38" i="9" l="1"/>
  <c r="C8" i="6"/>
  <c r="C59" i="9"/>
  <c r="F21" i="6"/>
  <c r="C60" i="9" l="1"/>
  <c r="B60" i="9" s="1"/>
  <c r="C62" i="9"/>
  <c r="C10" i="6" l="1"/>
  <c r="C21" i="6" s="1"/>
  <c r="F25" i="6" l="1"/>
  <c r="F9" i="6" l="1"/>
  <c r="F22" i="6" s="1"/>
  <c r="F23" i="6" s="1"/>
  <c r="E23" i="6" s="1"/>
  <c r="C25" i="6"/>
  <c r="C5" i="6" l="1"/>
  <c r="C22" i="6" l="1"/>
  <c r="C23" i="6" s="1"/>
  <c r="B23" i="6" s="1"/>
</calcChain>
</file>

<file path=xl/sharedStrings.xml><?xml version="1.0" encoding="utf-8"?>
<sst xmlns="http://schemas.openxmlformats.org/spreadsheetml/2006/main" count="88" uniqueCount="75">
  <si>
    <t>CALCULO DA APLICAÇÃO DOS RECURSOS DA EDUCAÇÃO</t>
  </si>
  <si>
    <t>A - RECEITA DE IMPOSTOS E TRANSFERÊNCIAS</t>
  </si>
  <si>
    <t>B -PERCENTUAL MÍNIMO 25%</t>
  </si>
  <si>
    <t xml:space="preserve">E - DESPESAS COM ENSINO FUNDAMENTAL E INFANTIL </t>
  </si>
  <si>
    <t>Valor Mínimo Que Deveria Ser Aplicado</t>
  </si>
  <si>
    <t>EDUCAÇÃO</t>
  </si>
  <si>
    <t>RECEITA DE IMPOSTOS</t>
  </si>
  <si>
    <t>IPTU</t>
  </si>
  <si>
    <t>ITBI</t>
  </si>
  <si>
    <t>ISS</t>
  </si>
  <si>
    <t>IRRF</t>
  </si>
  <si>
    <t>RECEITAS DE TRANSF. CONSTITUCIONAIS E LEGAIS</t>
  </si>
  <si>
    <t>FPM</t>
  </si>
  <si>
    <t>ICMS</t>
  </si>
  <si>
    <t>IPI</t>
  </si>
  <si>
    <t>ITR</t>
  </si>
  <si>
    <t>IPVA</t>
  </si>
  <si>
    <t>TOTAL RECEITA DE IMPOSTOS</t>
  </si>
  <si>
    <t>CALCULO DA APLICAÇÃO DOS RECURSOS DA SAÚDE</t>
  </si>
  <si>
    <t>CÁLCULO DE CUMPRIMENTO AO ART. 198 DA CONSTITUIÇÃO FEDERAL</t>
  </si>
  <si>
    <t>B - PERCENTUAL MÍNIMO (15,00%)</t>
  </si>
  <si>
    <t>C - DESPESAS COM AÇÕES DE SAÚDE</t>
  </si>
  <si>
    <t>D - DEDUÇÕES</t>
  </si>
  <si>
    <t>E - DESPESA CONSIDERADAS P/ CÁLCULO DOS 15,00% (C-D)</t>
  </si>
  <si>
    <t>SAÚDE</t>
  </si>
  <si>
    <t>RECEITA DO FUNDEB</t>
  </si>
  <si>
    <t>DEDUÇÃO DO FUNDEB</t>
  </si>
  <si>
    <t>GANHO OU PERCA FUNDEB</t>
  </si>
  <si>
    <t>Despesas pagas para cumprimentos dos 25%</t>
  </si>
  <si>
    <t>%</t>
  </si>
  <si>
    <t>Despesas Empenhadas na fonte 1002 - Recursos de impostos p/Saúde</t>
  </si>
  <si>
    <t>Despesas Empenhadas- Fonte 1001</t>
  </si>
  <si>
    <t>Despesas Empenhadas - Fonte 0018</t>
  </si>
  <si>
    <t>Despesas Empenhadas - Fonte 0019</t>
  </si>
  <si>
    <t>Despesas Empenhadas - Fonte 1018 (superávit)</t>
  </si>
  <si>
    <t>Despesas Empenhadas - Fonte 1019 (superávit)</t>
  </si>
  <si>
    <t xml:space="preserve">Restos a Pagar cancelados </t>
  </si>
  <si>
    <t>RECEITA FUNDEB NÃO UTILIZADA (SUPERIOR A 10%)</t>
  </si>
  <si>
    <t>RESULTADO FUNDEB</t>
  </si>
  <si>
    <t>Receita FUNDEB</t>
  </si>
  <si>
    <t>Rendimento Aplicação Financeira</t>
  </si>
  <si>
    <t>DESPESAS - FONTE 1 540 1070 (70%)</t>
  </si>
  <si>
    <t>DESPESAS - FONTE 1 540 7000 (30%)</t>
  </si>
  <si>
    <t>DESPESAS EDUCAÇÃO</t>
  </si>
  <si>
    <t>Despesas - Fonte 1 500 1001 (IMPOSTOS)</t>
  </si>
  <si>
    <t>Despesas - Fonte 1 540 1070 (FUNDEB 70%)</t>
  </si>
  <si>
    <t>Despesas - Fonte 1 540 7000 (FUNDEB 30%)</t>
  </si>
  <si>
    <t>Despesas - Fonte 2 540 7000 (SUPERÁVIT FUNDEB 30%)</t>
  </si>
  <si>
    <t>Despesas - Fonte 2 540 1070 (SUPERÁVIT FUNDEB 70%)</t>
  </si>
  <si>
    <t>Restos a Pagar cancelados (-)</t>
  </si>
  <si>
    <t>% APLICADO</t>
  </si>
  <si>
    <r>
      <t xml:space="preserve">ICMS OUTORGA </t>
    </r>
    <r>
      <rPr>
        <sz val="12"/>
        <color rgb="FFFF0000"/>
        <rFont val="Arial"/>
        <family val="2"/>
      </rPr>
      <t>(Não considerar para a saúde)</t>
    </r>
  </si>
  <si>
    <t>DESPESAS SAÚDE</t>
  </si>
  <si>
    <t>Despesas - Fonte 1 500 1002 (IMPOSTOS)</t>
  </si>
  <si>
    <t>TOTAL RECEITA APLICAÇÃO EM SAÚDE</t>
  </si>
  <si>
    <t>* Preencher sempre com valores positivos.</t>
  </si>
  <si>
    <t>* Até o 5º bimestre, utiliza-se a despesa liquidada e no 6º bimestre, utiliza-se a despesa empenhada.</t>
  </si>
  <si>
    <t>DEDUÇÕES IMPOSTOS</t>
  </si>
  <si>
    <t>DEDUÇÃO 20% FUNDEB</t>
  </si>
  <si>
    <t xml:space="preserve">RECEITAS </t>
  </si>
  <si>
    <t>DESPESAS - FONTE 2 540 (SUPERÁVIT FUNDEB)</t>
  </si>
  <si>
    <t>RECEITAS</t>
  </si>
  <si>
    <t>Planilha para Conferência dos índices de Educação e Saúde</t>
  </si>
  <si>
    <t>* Preencher somente as células sem coloração.</t>
  </si>
  <si>
    <t>* Células com coloração são preenchidas automaticamente, fazem somatórios e cálculos.</t>
  </si>
  <si>
    <t>* Receitas de FPM extraordinário e ICMS Outorga, não são considerados para Índice da Saúde.</t>
  </si>
  <si>
    <t>* Ao Preencher a pasta "MDF 13º - Aplicável para 2023" a pasta "MDF 12º - Aplicável para 2022" é preenchida automaticamente, para fins de comparação.</t>
  </si>
  <si>
    <t>* Com base nas mudanças no manual de demonstrativos fisais, é possível que o índice apontado pelo relatório emitido pelos sistema de contabilidade, esteja incorreto, por isso utilize este para conferência.</t>
  </si>
  <si>
    <r>
      <t xml:space="preserve">FPM Extraordinario </t>
    </r>
    <r>
      <rPr>
        <sz val="12"/>
        <color rgb="FFFF0000"/>
        <rFont val="Arial"/>
        <family val="2"/>
      </rPr>
      <t>(Não considerar para a saúde)</t>
    </r>
  </si>
  <si>
    <t>APURAÇÃO ÍNDICE DA EDUCAÇÃO</t>
  </si>
  <si>
    <t>TOTAL DAS DESPESAS PRA FINS DE ÍNDICE</t>
  </si>
  <si>
    <t>VALOR MÍNIMO 25%</t>
  </si>
  <si>
    <t>VALOR MÍNIMO 15%</t>
  </si>
  <si>
    <t>APURAÇÃO ÍNDICE DA SAÚDE</t>
  </si>
  <si>
    <t>Restos a pagar Cancelados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</si>
</sst>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#,##0.00_ ;[Red]\-#,##0.00\ "/>
    <numFmt numFmtId="167" formatCode="0.00_ ;[Red]\-0.00\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</cellStyleXfs>
  <cellXfs count="146">
    <xf numFmtId="0" fontId="0" fillId="0" borderId="0" xfId="0"/>
    <xf numFmtId="43" fontId="0" fillId="0" borderId="0" xfId="1" applyFont="1"/>
    <xf numFmtId="0" fontId="2" fillId="0" borderId="0" xfId="0" applyFont="1"/>
    <xf numFmtId="0" fontId="2" fillId="0" borderId="5" xfId="0" applyFont="1" applyBorder="1"/>
    <xf numFmtId="43" fontId="2" fillId="0" borderId="0" xfId="0" applyNumberFormat="1" applyFont="1"/>
    <xf numFmtId="0" fontId="2" fillId="0" borderId="7" xfId="0" applyFont="1" applyBorder="1"/>
    <xf numFmtId="0" fontId="4" fillId="0" borderId="0" xfId="0" applyFont="1"/>
    <xf numFmtId="164" fontId="2" fillId="0" borderId="6" xfId="2" applyFont="1" applyBorder="1"/>
    <xf numFmtId="43" fontId="2" fillId="0" borderId="0" xfId="1" applyFont="1"/>
    <xf numFmtId="2" fontId="2" fillId="0" borderId="0" xfId="0" applyNumberFormat="1" applyFont="1"/>
    <xf numFmtId="0" fontId="2" fillId="4" borderId="13" xfId="0" applyFont="1" applyFill="1" applyBorder="1"/>
    <xf numFmtId="0" fontId="2" fillId="4" borderId="14" xfId="0" applyFont="1" applyFill="1" applyBorder="1"/>
    <xf numFmtId="0" fontId="5" fillId="4" borderId="5" xfId="0" applyFont="1" applyFill="1" applyBorder="1" applyAlignment="1" applyProtection="1">
      <alignment horizontal="center"/>
      <protection locked="0"/>
    </xf>
    <xf numFmtId="165" fontId="5" fillId="4" borderId="6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4" borderId="5" xfId="0" applyFont="1" applyFill="1" applyBorder="1" applyAlignment="1" applyProtection="1">
      <alignment horizontal="left"/>
      <protection locked="0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17" xfId="0" applyFont="1" applyFill="1" applyBorder="1" applyProtection="1">
      <protection locked="0"/>
    </xf>
    <xf numFmtId="0" fontId="6" fillId="4" borderId="5" xfId="0" applyFont="1" applyFill="1" applyBorder="1" applyProtection="1">
      <protection locked="0"/>
    </xf>
    <xf numFmtId="0" fontId="6" fillId="4" borderId="13" xfId="0" quotePrefix="1" applyFont="1" applyFill="1" applyBorder="1" applyAlignment="1" applyProtection="1">
      <alignment horizontal="left"/>
      <protection locked="0"/>
    </xf>
    <xf numFmtId="0" fontId="5" fillId="5" borderId="18" xfId="0" applyFont="1" applyFill="1" applyBorder="1" applyAlignment="1" applyProtection="1">
      <alignment horizontal="left"/>
      <protection locked="0"/>
    </xf>
    <xf numFmtId="0" fontId="6" fillId="4" borderId="5" xfId="0" quotePrefix="1" applyFont="1" applyFill="1" applyBorder="1" applyAlignment="1" applyProtection="1">
      <alignment horizontal="left"/>
      <protection locked="0"/>
    </xf>
    <xf numFmtId="0" fontId="5" fillId="2" borderId="17" xfId="0" applyFont="1" applyFill="1" applyBorder="1" applyProtection="1">
      <protection locked="0"/>
    </xf>
    <xf numFmtId="0" fontId="2" fillId="0" borderId="13" xfId="0" applyFont="1" applyBorder="1"/>
    <xf numFmtId="0" fontId="2" fillId="0" borderId="14" xfId="0" applyFont="1" applyBorder="1"/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2" borderId="13" xfId="0" quotePrefix="1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13" xfId="0" applyFont="1" applyBorder="1" applyProtection="1"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2" borderId="18" xfId="0" quotePrefix="1" applyFont="1" applyFill="1" applyBorder="1" applyAlignment="1" applyProtection="1">
      <alignment horizontal="left"/>
      <protection locked="0"/>
    </xf>
    <xf numFmtId="43" fontId="7" fillId="6" borderId="8" xfId="1" applyFont="1" applyFill="1" applyBorder="1" applyAlignment="1">
      <alignment horizontal="right"/>
    </xf>
    <xf numFmtId="43" fontId="5" fillId="6" borderId="8" xfId="1" applyFont="1" applyFill="1" applyBorder="1" applyAlignment="1" applyProtection="1">
      <alignment horizontal="center"/>
      <protection locked="0"/>
    </xf>
    <xf numFmtId="4" fontId="0" fillId="0" borderId="0" xfId="0" applyNumberFormat="1"/>
    <xf numFmtId="164" fontId="0" fillId="0" borderId="0" xfId="0" applyNumberFormat="1"/>
    <xf numFmtId="0" fontId="6" fillId="0" borderId="11" xfId="0" applyFont="1" applyBorder="1"/>
    <xf numFmtId="0" fontId="6" fillId="0" borderId="12" xfId="0" applyFont="1" applyBorder="1"/>
    <xf numFmtId="164" fontId="5" fillId="3" borderId="6" xfId="2" applyFont="1" applyFill="1" applyBorder="1" applyAlignment="1">
      <alignment horizontal="right"/>
    </xf>
    <xf numFmtId="164" fontId="5" fillId="2" borderId="6" xfId="2" applyFont="1" applyFill="1" applyBorder="1" applyAlignment="1">
      <alignment horizontal="right"/>
    </xf>
    <xf numFmtId="164" fontId="5" fillId="2" borderId="14" xfId="2" applyFont="1" applyFill="1" applyBorder="1" applyAlignment="1">
      <alignment horizontal="right"/>
    </xf>
    <xf numFmtId="164" fontId="8" fillId="2" borderId="6" xfId="2" applyFont="1" applyFill="1" applyBorder="1" applyAlignment="1">
      <alignment horizontal="right"/>
    </xf>
    <xf numFmtId="164" fontId="5" fillId="0" borderId="6" xfId="2" applyFont="1" applyBorder="1" applyAlignment="1">
      <alignment horizontal="right"/>
    </xf>
    <xf numFmtId="164" fontId="7" fillId="0" borderId="14" xfId="2" applyFont="1" applyBorder="1" applyAlignment="1" applyProtection="1">
      <alignment horizontal="right"/>
      <protection locked="0"/>
    </xf>
    <xf numFmtId="164" fontId="6" fillId="0" borderId="6" xfId="2" applyFont="1" applyBorder="1" applyAlignment="1">
      <alignment horizontal="right"/>
    </xf>
    <xf numFmtId="164" fontId="9" fillId="0" borderId="6" xfId="2" applyFont="1" applyBorder="1" applyAlignment="1">
      <alignment horizontal="right"/>
    </xf>
    <xf numFmtId="164" fontId="7" fillId="3" borderId="6" xfId="2" applyFont="1" applyFill="1" applyBorder="1" applyAlignment="1">
      <alignment horizontal="right"/>
    </xf>
    <xf numFmtId="164" fontId="9" fillId="2" borderId="19" xfId="2" applyFont="1" applyFill="1" applyBorder="1" applyAlignment="1">
      <alignment horizontal="right"/>
    </xf>
    <xf numFmtId="164" fontId="7" fillId="2" borderId="6" xfId="2" applyFont="1" applyFill="1" applyBorder="1" applyAlignment="1">
      <alignment vertical="center"/>
    </xf>
    <xf numFmtId="164" fontId="5" fillId="5" borderId="6" xfId="2" applyFont="1" applyFill="1" applyBorder="1" applyAlignment="1">
      <alignment horizontal="right"/>
    </xf>
    <xf numFmtId="164" fontId="5" fillId="4" borderId="6" xfId="2" applyFont="1" applyFill="1" applyBorder="1" applyAlignment="1">
      <alignment horizontal="right"/>
    </xf>
    <xf numFmtId="164" fontId="6" fillId="4" borderId="6" xfId="2" applyFont="1" applyFill="1" applyBorder="1" applyAlignment="1">
      <alignment horizontal="right"/>
    </xf>
    <xf numFmtId="164" fontId="9" fillId="4" borderId="6" xfId="2" applyFont="1" applyFill="1" applyBorder="1" applyProtection="1">
      <protection locked="0"/>
    </xf>
    <xf numFmtId="164" fontId="9" fillId="4" borderId="14" xfId="2" applyFont="1" applyFill="1" applyBorder="1" applyAlignment="1">
      <alignment horizontal="right"/>
    </xf>
    <xf numFmtId="164" fontId="7" fillId="5" borderId="19" xfId="2" applyFont="1" applyFill="1" applyBorder="1" applyAlignment="1">
      <alignment horizontal="right"/>
    </xf>
    <xf numFmtId="164" fontId="9" fillId="4" borderId="6" xfId="2" applyFont="1" applyFill="1" applyBorder="1" applyAlignment="1">
      <alignment horizontal="right"/>
    </xf>
    <xf numFmtId="164" fontId="7" fillId="4" borderId="9" xfId="2" applyFont="1" applyFill="1" applyBorder="1" applyAlignment="1">
      <alignment horizontal="right"/>
    </xf>
    <xf numFmtId="0" fontId="6" fillId="4" borderId="13" xfId="0" applyFont="1" applyFill="1" applyBorder="1" applyProtection="1">
      <protection locked="0"/>
    </xf>
    <xf numFmtId="164" fontId="9" fillId="4" borderId="14" xfId="2" applyFont="1" applyFill="1" applyBorder="1" applyProtection="1">
      <protection locked="0"/>
    </xf>
    <xf numFmtId="44" fontId="0" fillId="0" borderId="0" xfId="0" applyNumberFormat="1"/>
    <xf numFmtId="44" fontId="2" fillId="0" borderId="0" xfId="0" applyNumberFormat="1" applyFont="1"/>
    <xf numFmtId="0" fontId="5" fillId="7" borderId="5" xfId="0" applyFont="1" applyFill="1" applyBorder="1" applyAlignment="1" applyProtection="1">
      <alignment horizontal="left"/>
      <protection locked="0"/>
    </xf>
    <xf numFmtId="0" fontId="5" fillId="7" borderId="7" xfId="0" applyFont="1" applyFill="1" applyBorder="1" applyAlignment="1" applyProtection="1">
      <alignment horizontal="left"/>
      <protection locked="0"/>
    </xf>
    <xf numFmtId="0" fontId="3" fillId="9" borderId="3" xfId="0" applyFont="1" applyFill="1" applyBorder="1"/>
    <xf numFmtId="0" fontId="3" fillId="9" borderId="7" xfId="0" applyFont="1" applyFill="1" applyBorder="1"/>
    <xf numFmtId="0" fontId="6" fillId="2" borderId="5" xfId="0" applyFont="1" applyFill="1" applyBorder="1" applyProtection="1">
      <protection locked="0"/>
    </xf>
    <xf numFmtId="0" fontId="6" fillId="2" borderId="13" xfId="0" quotePrefix="1" applyFont="1" applyFill="1" applyBorder="1" applyAlignment="1" applyProtection="1">
      <alignment horizontal="left"/>
      <protection locked="0"/>
    </xf>
    <xf numFmtId="43" fontId="6" fillId="0" borderId="6" xfId="1" applyFont="1" applyBorder="1" applyAlignment="1">
      <alignment horizontal="right"/>
    </xf>
    <xf numFmtId="0" fontId="6" fillId="0" borderId="7" xfId="0" applyFont="1" applyBorder="1" applyAlignment="1" applyProtection="1">
      <alignment horizontal="left"/>
      <protection locked="0"/>
    </xf>
    <xf numFmtId="0" fontId="3" fillId="5" borderId="3" xfId="0" applyFont="1" applyFill="1" applyBorder="1"/>
    <xf numFmtId="0" fontId="3" fillId="7" borderId="5" xfId="0" applyFont="1" applyFill="1" applyBorder="1"/>
    <xf numFmtId="43" fontId="5" fillId="7" borderId="6" xfId="1" applyFont="1" applyFill="1" applyBorder="1" applyAlignment="1">
      <alignment horizontal="right"/>
    </xf>
    <xf numFmtId="0" fontId="3" fillId="7" borderId="7" xfId="0" applyFont="1" applyFill="1" applyBorder="1"/>
    <xf numFmtId="0" fontId="5" fillId="6" borderId="7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/>
    <xf numFmtId="43" fontId="5" fillId="7" borderId="4" xfId="1" applyFont="1" applyFill="1" applyBorder="1" applyAlignment="1">
      <alignment horizontal="right"/>
    </xf>
    <xf numFmtId="43" fontId="0" fillId="0" borderId="5" xfId="1" applyFont="1" applyBorder="1"/>
    <xf numFmtId="43" fontId="0" fillId="0" borderId="6" xfId="1" applyFont="1" applyBorder="1"/>
    <xf numFmtId="0" fontId="6" fillId="2" borderId="7" xfId="0" applyFont="1" applyFill="1" applyBorder="1" applyProtection="1">
      <protection locked="0"/>
    </xf>
    <xf numFmtId="166" fontId="2" fillId="0" borderId="6" xfId="1" applyNumberFormat="1" applyFont="1" applyBorder="1"/>
    <xf numFmtId="166" fontId="8" fillId="7" borderId="6" xfId="1" applyNumberFormat="1" applyFont="1" applyFill="1" applyBorder="1" applyAlignment="1">
      <alignment horizontal="right"/>
    </xf>
    <xf numFmtId="166" fontId="5" fillId="7" borderId="6" xfId="1" applyNumberFormat="1" applyFont="1" applyFill="1" applyBorder="1" applyAlignment="1">
      <alignment horizontal="right"/>
    </xf>
    <xf numFmtId="166" fontId="5" fillId="7" borderId="8" xfId="1" applyNumberFormat="1" applyFont="1" applyFill="1" applyBorder="1" applyAlignment="1">
      <alignment horizontal="right"/>
    </xf>
    <xf numFmtId="166" fontId="3" fillId="5" borderId="4" xfId="0" applyNumberFormat="1" applyFont="1" applyFill="1" applyBorder="1"/>
    <xf numFmtId="166" fontId="8" fillId="7" borderId="8" xfId="1" applyNumberFormat="1" applyFont="1" applyFill="1" applyBorder="1" applyAlignment="1">
      <alignment horizontal="right"/>
    </xf>
    <xf numFmtId="166" fontId="6" fillId="0" borderId="6" xfId="1" applyNumberFormat="1" applyFont="1" applyBorder="1" applyAlignment="1">
      <alignment horizontal="right"/>
    </xf>
    <xf numFmtId="166" fontId="2" fillId="0" borderId="14" xfId="0" applyNumberFormat="1" applyFont="1" applyBorder="1"/>
    <xf numFmtId="166" fontId="4" fillId="0" borderId="8" xfId="1" applyNumberFormat="1" applyFont="1" applyBorder="1" applyAlignment="1">
      <alignment horizontal="right"/>
    </xf>
    <xf numFmtId="166" fontId="2" fillId="0" borderId="0" xfId="0" applyNumberFormat="1" applyFont="1"/>
    <xf numFmtId="166" fontId="3" fillId="9" borderId="4" xfId="1" applyNumberFormat="1" applyFont="1" applyFill="1" applyBorder="1"/>
    <xf numFmtId="166" fontId="2" fillId="0" borderId="8" xfId="1" applyNumberFormat="1" applyFont="1" applyBorder="1"/>
    <xf numFmtId="166" fontId="3" fillId="9" borderId="8" xfId="1" applyNumberFormat="1" applyFont="1" applyFill="1" applyBorder="1"/>
    <xf numFmtId="166" fontId="5" fillId="7" borderId="4" xfId="1" applyNumberFormat="1" applyFont="1" applyFill="1" applyBorder="1" applyAlignment="1">
      <alignment horizontal="right"/>
    </xf>
    <xf numFmtId="166" fontId="7" fillId="6" borderId="8" xfId="1" applyNumberFormat="1" applyFont="1" applyFill="1" applyBorder="1" applyAlignment="1">
      <alignment horizontal="right"/>
    </xf>
    <xf numFmtId="166" fontId="0" fillId="0" borderId="0" xfId="0" applyNumberFormat="1"/>
    <xf numFmtId="166" fontId="3" fillId="9" borderId="4" xfId="2" applyNumberFormat="1" applyFont="1" applyFill="1" applyBorder="1"/>
    <xf numFmtId="166" fontId="2" fillId="0" borderId="8" xfId="2" applyNumberFormat="1" applyFont="1" applyBorder="1"/>
    <xf numFmtId="0" fontId="3" fillId="9" borderId="23" xfId="0" applyFont="1" applyFill="1" applyBorder="1"/>
    <xf numFmtId="166" fontId="3" fillId="9" borderId="9" xfId="1" applyNumberFormat="1" applyFont="1" applyFill="1" applyBorder="1"/>
    <xf numFmtId="168" fontId="4" fillId="0" borderId="8" xfId="1" applyNumberFormat="1" applyFont="1" applyBorder="1" applyAlignment="1">
      <alignment horizontal="right"/>
    </xf>
    <xf numFmtId="43" fontId="0" fillId="0" borderId="0" xfId="1" applyFont="1" applyBorder="1"/>
    <xf numFmtId="0" fontId="2" fillId="4" borderId="13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2" fillId="4" borderId="14" xfId="0" applyFont="1" applyFill="1" applyBorder="1" applyAlignment="1">
      <alignment horizontal="left" wrapText="1"/>
    </xf>
    <xf numFmtId="166" fontId="2" fillId="4" borderId="0" xfId="0" applyNumberFormat="1" applyFont="1" applyFill="1"/>
    <xf numFmtId="43" fontId="0" fillId="4" borderId="0" xfId="1" applyFont="1" applyFill="1" applyBorder="1"/>
    <xf numFmtId="43" fontId="0" fillId="4" borderId="14" xfId="1" applyFont="1" applyFill="1" applyBorder="1"/>
    <xf numFmtId="43" fontId="0" fillId="4" borderId="13" xfId="1" applyFont="1" applyFill="1" applyBorder="1"/>
    <xf numFmtId="166" fontId="0" fillId="4" borderId="0" xfId="1" applyNumberFormat="1" applyFont="1" applyFill="1" applyBorder="1"/>
    <xf numFmtId="43" fontId="0" fillId="4" borderId="10" xfId="1" applyFont="1" applyFill="1" applyBorder="1"/>
    <xf numFmtId="167" fontId="0" fillId="4" borderId="14" xfId="1" applyNumberFormat="1" applyFont="1" applyFill="1" applyBorder="1"/>
    <xf numFmtId="166" fontId="2" fillId="4" borderId="14" xfId="1" applyNumberFormat="1" applyFont="1" applyFill="1" applyBorder="1"/>
    <xf numFmtId="166" fontId="2" fillId="4" borderId="14" xfId="0" applyNumberFormat="1" applyFont="1" applyFill="1" applyBorder="1"/>
    <xf numFmtId="0" fontId="5" fillId="5" borderId="15" xfId="0" applyFont="1" applyFill="1" applyBorder="1" applyAlignment="1" applyProtection="1">
      <alignment vertical="center" wrapText="1"/>
      <protection locked="0"/>
    </xf>
    <xf numFmtId="0" fontId="5" fillId="5" borderId="16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2" borderId="21" xfId="0" quotePrefix="1" applyFont="1" applyFill="1" applyBorder="1" applyAlignment="1" applyProtection="1">
      <alignment horizontal="center"/>
      <protection locked="0"/>
    </xf>
    <xf numFmtId="0" fontId="5" fillId="2" borderId="22" xfId="0" quotePrefix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8" borderId="1" xfId="2" applyFont="1" applyFill="1" applyBorder="1" applyAlignment="1">
      <alignment horizontal="center"/>
    </xf>
    <xf numFmtId="164" fontId="3" fillId="8" borderId="2" xfId="2" applyFont="1" applyFill="1" applyBorder="1" applyAlignment="1">
      <alignment horizontal="center"/>
    </xf>
    <xf numFmtId="0" fontId="2" fillId="4" borderId="5" xfId="0" applyFont="1" applyFill="1" applyBorder="1" applyAlignment="1">
      <alignment horizontal="left" wrapText="1"/>
    </xf>
    <xf numFmtId="0" fontId="2" fillId="4" borderId="20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</cellXfs>
  <cellStyles count="4">
    <cellStyle name="Moeda" xfId="2" builtinId="4"/>
    <cellStyle name="Normal" xfId="0" builtinId="0"/>
    <cellStyle name="Normal 2" xfId="3" xr:uid="{00000000-0005-0000-0000-000002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0"/>
  <sheetViews>
    <sheetView zoomScale="70" zoomScaleNormal="70" workbookViewId="0">
      <selection activeCell="C25" sqref="C25"/>
    </sheetView>
  </sheetViews>
  <sheetFormatPr defaultRowHeight="15.6" x14ac:dyDescent="0.3"/>
  <cols>
    <col min="1" max="1" width="6.109375" customWidth="1"/>
    <col min="2" max="2" width="67.5546875" style="2" bestFit="1" customWidth="1"/>
    <col min="3" max="3" width="21.88671875" style="2" bestFit="1" customWidth="1"/>
    <col min="4" max="4" width="11.33203125" customWidth="1"/>
    <col min="5" max="5" width="90" bestFit="1" customWidth="1"/>
    <col min="6" max="6" width="21.88671875" bestFit="1" customWidth="1"/>
    <col min="7" max="7" width="23.109375" customWidth="1"/>
    <col min="8" max="8" width="10" customWidth="1"/>
    <col min="9" max="9" width="33.88671875" bestFit="1" customWidth="1"/>
    <col min="10" max="11" width="17.109375" bestFit="1" customWidth="1"/>
    <col min="12" max="12" width="7.5546875" bestFit="1" customWidth="1"/>
    <col min="16" max="16" width="10.6640625" bestFit="1" customWidth="1"/>
    <col min="18" max="18" width="14.5546875" bestFit="1" customWidth="1"/>
  </cols>
  <sheetData>
    <row r="1" spans="2:12" ht="16.2" thickBot="1" x14ac:dyDescent="0.35">
      <c r="B1" s="119" t="s">
        <v>0</v>
      </c>
      <c r="C1" s="120"/>
      <c r="E1" s="121" t="s">
        <v>18</v>
      </c>
      <c r="F1" s="122"/>
      <c r="I1" s="39"/>
      <c r="J1" s="4"/>
      <c r="K1" s="9"/>
      <c r="L1" s="8"/>
    </row>
    <row r="2" spans="2:12" x14ac:dyDescent="0.3">
      <c r="B2" s="40"/>
      <c r="C2" s="41"/>
      <c r="E2" s="10"/>
      <c r="F2" s="11"/>
      <c r="J2" s="2"/>
      <c r="K2" s="2"/>
      <c r="L2" s="4"/>
    </row>
    <row r="3" spans="2:12" x14ac:dyDescent="0.3">
      <c r="B3" s="28" t="s">
        <v>1</v>
      </c>
      <c r="C3" s="42">
        <f>'MDF 13º - Aplicavel para 2023'!C57</f>
        <v>34645790</v>
      </c>
      <c r="E3" s="117" t="s">
        <v>19</v>
      </c>
      <c r="F3" s="118"/>
      <c r="J3" s="2"/>
      <c r="K3" s="2"/>
      <c r="L3" s="2"/>
    </row>
    <row r="4" spans="2:12" x14ac:dyDescent="0.3">
      <c r="B4" s="29"/>
      <c r="C4" s="43"/>
      <c r="E4" s="12"/>
      <c r="F4" s="13"/>
      <c r="H4" s="6"/>
      <c r="J4" s="2"/>
      <c r="K4" s="2"/>
      <c r="L4" s="2"/>
    </row>
    <row r="5" spans="2:12" x14ac:dyDescent="0.3">
      <c r="B5" s="30" t="s">
        <v>2</v>
      </c>
      <c r="C5" s="42">
        <f>C3*25%</f>
        <v>8661447.5</v>
      </c>
      <c r="E5" s="12"/>
      <c r="F5" s="13"/>
      <c r="H5" s="6"/>
      <c r="I5" s="2"/>
      <c r="J5" s="2"/>
      <c r="K5" s="2"/>
      <c r="L5" s="2"/>
    </row>
    <row r="6" spans="2:12" x14ac:dyDescent="0.3">
      <c r="B6" s="31"/>
      <c r="C6" s="44"/>
      <c r="E6" s="12"/>
      <c r="F6" s="13"/>
      <c r="H6" s="2"/>
      <c r="I6" s="2"/>
    </row>
    <row r="7" spans="2:12" x14ac:dyDescent="0.3">
      <c r="B7" s="29" t="s">
        <v>25</v>
      </c>
      <c r="C7" s="7">
        <f>'MDF 13º - Aplicavel para 2023'!C32</f>
        <v>8500000</v>
      </c>
      <c r="E7" s="14" t="s">
        <v>1</v>
      </c>
      <c r="F7" s="53">
        <f>'MDF 13º - Aplicavel para 2023'!F32</f>
        <v>32845790</v>
      </c>
      <c r="I7" s="63"/>
    </row>
    <row r="8" spans="2:12" x14ac:dyDescent="0.3">
      <c r="B8" s="32" t="s">
        <v>26</v>
      </c>
      <c r="C8" s="45">
        <f>'MDF 13º - Aplicavel para 2023'!C34</f>
        <v>5225600</v>
      </c>
      <c r="E8" s="15"/>
      <c r="F8" s="54"/>
    </row>
    <row r="9" spans="2:12" x14ac:dyDescent="0.3">
      <c r="B9" s="32"/>
      <c r="C9" s="46"/>
      <c r="E9" s="16" t="s">
        <v>20</v>
      </c>
      <c r="F9" s="53">
        <f>F7*15%</f>
        <v>4926868.5</v>
      </c>
    </row>
    <row r="10" spans="2:12" x14ac:dyDescent="0.3">
      <c r="B10" s="30" t="s">
        <v>27</v>
      </c>
      <c r="C10" s="42">
        <f>C7-C8</f>
        <v>3274400</v>
      </c>
      <c r="E10" s="17"/>
      <c r="F10" s="54"/>
    </row>
    <row r="11" spans="2:12" x14ac:dyDescent="0.3">
      <c r="B11" s="33"/>
      <c r="C11" s="47"/>
      <c r="E11" s="14" t="s">
        <v>21</v>
      </c>
      <c r="F11" s="53">
        <f>F12</f>
        <v>9873000</v>
      </c>
      <c r="I11" s="1"/>
    </row>
    <row r="12" spans="2:12" x14ac:dyDescent="0.3">
      <c r="B12" s="28" t="s">
        <v>3</v>
      </c>
      <c r="C12" s="42">
        <f>SUM(C13:C17)</f>
        <v>13386200</v>
      </c>
      <c r="E12" s="18" t="s">
        <v>30</v>
      </c>
      <c r="F12" s="55">
        <f>'MDF 13º - Aplicavel para 2023'!F41</f>
        <v>9873000</v>
      </c>
      <c r="I12" s="1"/>
    </row>
    <row r="13" spans="2:12" x14ac:dyDescent="0.3">
      <c r="B13" s="34" t="s">
        <v>31</v>
      </c>
      <c r="C13" s="48">
        <f>'MDF 13º - Aplicavel para 2023'!C41</f>
        <v>4012000</v>
      </c>
      <c r="E13" s="18"/>
      <c r="F13" s="54"/>
    </row>
    <row r="14" spans="2:12" x14ac:dyDescent="0.3">
      <c r="B14" s="34" t="s">
        <v>32</v>
      </c>
      <c r="C14" s="48">
        <f>'MDF 13º - Aplicavel para 2023'!C42</f>
        <v>8522000</v>
      </c>
      <c r="E14" s="18"/>
      <c r="F14" s="55"/>
    </row>
    <row r="15" spans="2:12" x14ac:dyDescent="0.3">
      <c r="B15" s="34" t="s">
        <v>33</v>
      </c>
      <c r="C15" s="48">
        <f>'MDF 13º - Aplicavel para 2023'!C43</f>
        <v>0</v>
      </c>
      <c r="D15" s="38"/>
      <c r="E15" s="16" t="s">
        <v>22</v>
      </c>
      <c r="F15" s="53">
        <f>SUM(F16:F17)</f>
        <v>0</v>
      </c>
      <c r="G15" s="64"/>
      <c r="H15" s="2"/>
      <c r="I15" s="2"/>
    </row>
    <row r="16" spans="2:12" x14ac:dyDescent="0.3">
      <c r="B16" s="34" t="s">
        <v>34</v>
      </c>
      <c r="C16" s="48">
        <f>'MDF 13º - Aplicavel para 2023'!C44</f>
        <v>852200</v>
      </c>
      <c r="E16" s="19"/>
      <c r="F16" s="56"/>
    </row>
    <row r="17" spans="2:6" x14ac:dyDescent="0.3">
      <c r="B17" s="34" t="s">
        <v>35</v>
      </c>
      <c r="C17" s="48">
        <f>'MDF 13º - Aplicavel para 2023'!C45</f>
        <v>0</v>
      </c>
      <c r="E17" s="20" t="s">
        <v>74</v>
      </c>
      <c r="F17" s="56">
        <v>0</v>
      </c>
    </row>
    <row r="18" spans="2:6" x14ac:dyDescent="0.3">
      <c r="B18" s="34"/>
      <c r="C18" s="48"/>
      <c r="E18" s="61"/>
      <c r="F18" s="62"/>
    </row>
    <row r="19" spans="2:6" x14ac:dyDescent="0.3">
      <c r="B19" s="34" t="s">
        <v>36</v>
      </c>
      <c r="C19" s="48">
        <f>'MDF 13º - Aplicavel para 2023'!C47</f>
        <v>0</v>
      </c>
      <c r="E19" s="61"/>
      <c r="F19" s="62"/>
    </row>
    <row r="20" spans="2:6" x14ac:dyDescent="0.3">
      <c r="B20" s="34"/>
      <c r="C20" s="49"/>
      <c r="E20" s="21"/>
      <c r="F20" s="57"/>
    </row>
    <row r="21" spans="2:6" x14ac:dyDescent="0.3">
      <c r="B21" s="30" t="s">
        <v>28</v>
      </c>
      <c r="C21" s="50">
        <f>(C12-C10-C19)</f>
        <v>10111800</v>
      </c>
      <c r="E21" s="22" t="s">
        <v>23</v>
      </c>
      <c r="F21" s="58">
        <f>F11-F15</f>
        <v>9873000</v>
      </c>
    </row>
    <row r="22" spans="2:6" x14ac:dyDescent="0.3">
      <c r="B22" s="35" t="s">
        <v>4</v>
      </c>
      <c r="C22" s="51">
        <f>C5</f>
        <v>8661447.5</v>
      </c>
      <c r="E22" s="23" t="s">
        <v>4</v>
      </c>
      <c r="F22" s="59">
        <f>F9</f>
        <v>4926868.5</v>
      </c>
    </row>
    <row r="23" spans="2:6" x14ac:dyDescent="0.3">
      <c r="B23" s="24" t="str">
        <f>"Valor Aplicado a "&amp;IF(C23&gt;0,"Maior","Menor")</f>
        <v>Valor Aplicado a Maior</v>
      </c>
      <c r="C23" s="52">
        <f>C21-C22</f>
        <v>1450352.5</v>
      </c>
      <c r="E23" s="24" t="str">
        <f>"Valor Aplicado a "&amp;IF(F23&gt;0,"Maior","Menor")</f>
        <v>Valor Aplicado a Maior</v>
      </c>
      <c r="F23" s="60">
        <f>F21-F22</f>
        <v>4946131.5</v>
      </c>
    </row>
    <row r="24" spans="2:6" x14ac:dyDescent="0.3">
      <c r="B24" s="25"/>
      <c r="C24" s="26"/>
      <c r="E24" s="25"/>
      <c r="F24" s="26"/>
    </row>
    <row r="25" spans="2:6" ht="16.2" thickBot="1" x14ac:dyDescent="0.35">
      <c r="B25" s="27" t="s">
        <v>29</v>
      </c>
      <c r="C25" s="36">
        <f>C21*100/C3</f>
        <v>29.18623013070275</v>
      </c>
      <c r="E25" s="27" t="s">
        <v>29</v>
      </c>
      <c r="F25" s="37">
        <f>F21*100/F7</f>
        <v>30.058646785478444</v>
      </c>
    </row>
    <row r="28" spans="2:6" x14ac:dyDescent="0.3">
      <c r="B28" s="8"/>
    </row>
    <row r="29" spans="2:6" x14ac:dyDescent="0.3">
      <c r="B29" s="8"/>
    </row>
    <row r="30" spans="2:6" x14ac:dyDescent="0.3">
      <c r="B30" s="8"/>
    </row>
  </sheetData>
  <mergeCells count="2">
    <mergeCell ref="B1:C1"/>
    <mergeCell ref="E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3"/>
  <sheetViews>
    <sheetView tabSelected="1" zoomScale="85" zoomScaleNormal="85" workbookViewId="0">
      <selection activeCell="F62" sqref="A1:F62"/>
    </sheetView>
  </sheetViews>
  <sheetFormatPr defaultRowHeight="15.6" x14ac:dyDescent="0.3"/>
  <cols>
    <col min="1" max="1" width="6.109375" customWidth="1"/>
    <col min="2" max="2" width="77.6640625" style="2" bestFit="1" customWidth="1"/>
    <col min="3" max="3" width="21.88671875" style="92" bestFit="1" customWidth="1"/>
    <col min="4" max="4" width="19.21875" style="1" customWidth="1"/>
    <col min="5" max="5" width="61.6640625" style="1" bestFit="1" customWidth="1"/>
    <col min="6" max="6" width="29.109375" style="1" customWidth="1"/>
    <col min="7" max="7" width="21.88671875" style="1" customWidth="1"/>
    <col min="9" max="9" width="14.5546875" bestFit="1" customWidth="1"/>
  </cols>
  <sheetData>
    <row r="1" spans="2:9" x14ac:dyDescent="0.3">
      <c r="B1" s="137" t="s">
        <v>62</v>
      </c>
      <c r="C1" s="138"/>
      <c r="D1" s="138"/>
      <c r="E1" s="138"/>
      <c r="F1" s="139"/>
    </row>
    <row r="2" spans="2:9" x14ac:dyDescent="0.3">
      <c r="B2" s="10"/>
      <c r="C2" s="108"/>
      <c r="D2" s="109"/>
      <c r="E2" s="109"/>
      <c r="F2" s="110"/>
    </row>
    <row r="3" spans="2:9" x14ac:dyDescent="0.3">
      <c r="B3" s="134" t="s">
        <v>63</v>
      </c>
      <c r="C3" s="135"/>
      <c r="D3" s="135"/>
      <c r="E3" s="135"/>
      <c r="F3" s="136"/>
    </row>
    <row r="4" spans="2:9" x14ac:dyDescent="0.3">
      <c r="B4" s="143" t="s">
        <v>64</v>
      </c>
      <c r="C4" s="144"/>
      <c r="D4" s="144"/>
      <c r="E4" s="144"/>
      <c r="F4" s="145"/>
    </row>
    <row r="5" spans="2:9" x14ac:dyDescent="0.3">
      <c r="B5" s="143" t="s">
        <v>55</v>
      </c>
      <c r="C5" s="144"/>
      <c r="D5" s="144"/>
      <c r="E5" s="144"/>
      <c r="F5" s="145"/>
    </row>
    <row r="6" spans="2:9" x14ac:dyDescent="0.3">
      <c r="B6" s="143" t="s">
        <v>56</v>
      </c>
      <c r="C6" s="144"/>
      <c r="D6" s="144"/>
      <c r="E6" s="144"/>
      <c r="F6" s="145"/>
    </row>
    <row r="7" spans="2:9" x14ac:dyDescent="0.3">
      <c r="B7" s="143" t="s">
        <v>65</v>
      </c>
      <c r="C7" s="144"/>
      <c r="D7" s="144"/>
      <c r="E7" s="144"/>
      <c r="F7" s="145"/>
    </row>
    <row r="8" spans="2:9" x14ac:dyDescent="0.3">
      <c r="B8" s="143" t="s">
        <v>66</v>
      </c>
      <c r="C8" s="144"/>
      <c r="D8" s="144"/>
      <c r="E8" s="144"/>
      <c r="F8" s="145"/>
    </row>
    <row r="9" spans="2:9" ht="30" customHeight="1" x14ac:dyDescent="0.3">
      <c r="B9" s="131" t="s">
        <v>67</v>
      </c>
      <c r="C9" s="132"/>
      <c r="D9" s="132"/>
      <c r="E9" s="132"/>
      <c r="F9" s="133"/>
    </row>
    <row r="10" spans="2:9" x14ac:dyDescent="0.3">
      <c r="B10" s="105"/>
      <c r="C10" s="106"/>
      <c r="D10" s="106"/>
      <c r="E10" s="106"/>
      <c r="F10" s="107"/>
    </row>
    <row r="11" spans="2:9" ht="16.2" thickBot="1" x14ac:dyDescent="0.35">
      <c r="B11" s="10"/>
      <c r="C11" s="108"/>
      <c r="D11" s="109"/>
      <c r="E11" s="109"/>
      <c r="F11" s="110"/>
    </row>
    <row r="12" spans="2:9" ht="16.2" thickBot="1" x14ac:dyDescent="0.35">
      <c r="B12" s="140" t="s">
        <v>61</v>
      </c>
      <c r="C12" s="141"/>
      <c r="D12" s="141"/>
      <c r="E12" s="141"/>
      <c r="F12" s="142"/>
    </row>
    <row r="13" spans="2:9" x14ac:dyDescent="0.3">
      <c r="B13" s="101" t="s">
        <v>6</v>
      </c>
      <c r="C13" s="102">
        <f>SUM(C14:C17)</f>
        <v>6807790</v>
      </c>
      <c r="D13" s="104"/>
      <c r="E13" s="67" t="s">
        <v>57</v>
      </c>
      <c r="F13" s="99">
        <f>SUM(F14:F17)</f>
        <v>90000</v>
      </c>
    </row>
    <row r="14" spans="2:9" x14ac:dyDescent="0.3">
      <c r="B14" s="3" t="s">
        <v>10</v>
      </c>
      <c r="C14" s="83">
        <f>1100000+999000</f>
        <v>2099000</v>
      </c>
      <c r="D14" s="104"/>
      <c r="E14" s="3" t="s">
        <v>10</v>
      </c>
      <c r="F14" s="83"/>
      <c r="I14" s="63"/>
    </row>
    <row r="15" spans="2:9" x14ac:dyDescent="0.3">
      <c r="B15" s="3" t="s">
        <v>7</v>
      </c>
      <c r="C15" s="83">
        <f>1100000+5000+140000+70000</f>
        <v>1315000</v>
      </c>
      <c r="D15" s="104"/>
      <c r="E15" s="3" t="s">
        <v>7</v>
      </c>
      <c r="F15" s="83">
        <f>60000+30000</f>
        <v>90000</v>
      </c>
    </row>
    <row r="16" spans="2:9" x14ac:dyDescent="0.3">
      <c r="B16" s="3" t="s">
        <v>8</v>
      </c>
      <c r="C16" s="83">
        <v>750000</v>
      </c>
      <c r="D16" s="104"/>
      <c r="E16" s="3" t="s">
        <v>8</v>
      </c>
      <c r="F16" s="83"/>
      <c r="I16" s="63"/>
    </row>
    <row r="17" spans="1:6" ht="16.2" thickBot="1" x14ac:dyDescent="0.35">
      <c r="B17" s="5" t="s">
        <v>9</v>
      </c>
      <c r="C17" s="94">
        <f>2600000+10400+30000+3390</f>
        <v>2643790</v>
      </c>
      <c r="D17" s="104"/>
      <c r="E17" s="5" t="s">
        <v>9</v>
      </c>
      <c r="F17" s="94"/>
    </row>
    <row r="18" spans="1:6" x14ac:dyDescent="0.3">
      <c r="B18" s="67" t="s">
        <v>11</v>
      </c>
      <c r="C18" s="93">
        <f>SUM(C19:C25)</f>
        <v>27928000</v>
      </c>
      <c r="D18" s="104"/>
      <c r="E18" s="67" t="s">
        <v>58</v>
      </c>
      <c r="F18" s="99">
        <f>SUM(F19:F25)</f>
        <v>5225600</v>
      </c>
    </row>
    <row r="19" spans="1:6" x14ac:dyDescent="0.3">
      <c r="B19" s="3" t="s">
        <v>12</v>
      </c>
      <c r="C19" s="83">
        <v>18000</v>
      </c>
      <c r="D19" s="104"/>
      <c r="E19" s="65" t="str">
        <f>B19</f>
        <v>FPM</v>
      </c>
      <c r="F19" s="85">
        <f>C19*0.2</f>
        <v>3600</v>
      </c>
    </row>
    <row r="20" spans="1:6" x14ac:dyDescent="0.3">
      <c r="B20" s="3" t="s">
        <v>68</v>
      </c>
      <c r="C20" s="83">
        <v>1800000</v>
      </c>
      <c r="D20" s="104"/>
      <c r="E20" s="65"/>
      <c r="F20" s="85"/>
    </row>
    <row r="21" spans="1:6" x14ac:dyDescent="0.3">
      <c r="B21" s="3" t="s">
        <v>15</v>
      </c>
      <c r="C21" s="83">
        <v>50000</v>
      </c>
      <c r="D21" s="104"/>
      <c r="E21" s="65" t="str">
        <f>B21</f>
        <v>ITR</v>
      </c>
      <c r="F21" s="85">
        <f>C21*0.2</f>
        <v>10000</v>
      </c>
    </row>
    <row r="22" spans="1:6" x14ac:dyDescent="0.3">
      <c r="B22" s="3" t="s">
        <v>13</v>
      </c>
      <c r="C22" s="83">
        <v>23000000</v>
      </c>
      <c r="D22" s="104"/>
      <c r="E22" s="65" t="str">
        <f>B22</f>
        <v>ICMS</v>
      </c>
      <c r="F22" s="85">
        <f t="shared" ref="F22:F25" si="0">C22*0.2</f>
        <v>4600000</v>
      </c>
    </row>
    <row r="23" spans="1:6" x14ac:dyDescent="0.3">
      <c r="B23" s="3" t="s">
        <v>16</v>
      </c>
      <c r="C23" s="83">
        <v>2800000</v>
      </c>
      <c r="D23" s="104"/>
      <c r="E23" s="65" t="str">
        <f>B23</f>
        <v>IPVA</v>
      </c>
      <c r="F23" s="85">
        <f t="shared" si="0"/>
        <v>560000</v>
      </c>
    </row>
    <row r="24" spans="1:6" x14ac:dyDescent="0.3">
      <c r="B24" s="3" t="s">
        <v>14</v>
      </c>
      <c r="C24" s="83">
        <v>260000</v>
      </c>
      <c r="D24" s="104"/>
      <c r="E24" s="65" t="str">
        <f>B24</f>
        <v>IPI</v>
      </c>
      <c r="F24" s="85">
        <f t="shared" si="0"/>
        <v>52000</v>
      </c>
    </row>
    <row r="25" spans="1:6" ht="16.2" thickBot="1" x14ac:dyDescent="0.35">
      <c r="B25" s="3" t="s">
        <v>51</v>
      </c>
      <c r="C25" s="83"/>
      <c r="D25" s="104"/>
      <c r="E25" s="66" t="s">
        <v>51</v>
      </c>
      <c r="F25" s="86">
        <f t="shared" si="0"/>
        <v>0</v>
      </c>
    </row>
    <row r="26" spans="1:6" x14ac:dyDescent="0.3">
      <c r="B26" s="10"/>
      <c r="C26" s="115"/>
      <c r="D26" s="109"/>
      <c r="E26" s="109"/>
      <c r="F26" s="110"/>
    </row>
    <row r="27" spans="1:6" ht="16.2" thickBot="1" x14ac:dyDescent="0.35">
      <c r="B27" s="68" t="s">
        <v>17</v>
      </c>
      <c r="C27" s="95">
        <f>+C13+C18-F13</f>
        <v>34645790</v>
      </c>
      <c r="D27" s="109"/>
      <c r="E27" s="109"/>
      <c r="F27" s="110"/>
    </row>
    <row r="28" spans="1:6" ht="15" thickBot="1" x14ac:dyDescent="0.35">
      <c r="A28" s="1"/>
      <c r="B28" s="111"/>
      <c r="C28" s="112"/>
      <c r="D28" s="109"/>
      <c r="E28" s="109"/>
      <c r="F28" s="110"/>
    </row>
    <row r="29" spans="1:6" ht="16.2" thickBot="1" x14ac:dyDescent="0.35">
      <c r="A29" s="1"/>
      <c r="B29" s="129" t="s">
        <v>5</v>
      </c>
      <c r="C29" s="130"/>
      <c r="D29" s="109"/>
      <c r="E29" s="129" t="s">
        <v>24</v>
      </c>
      <c r="F29" s="130"/>
    </row>
    <row r="30" spans="1:6" ht="15" thickBot="1" x14ac:dyDescent="0.35">
      <c r="A30" s="1"/>
      <c r="B30" s="111"/>
      <c r="C30" s="112"/>
      <c r="D30" s="109"/>
      <c r="E30" s="109"/>
      <c r="F30" s="110"/>
    </row>
    <row r="31" spans="1:6" x14ac:dyDescent="0.3">
      <c r="B31" s="125" t="s">
        <v>38</v>
      </c>
      <c r="C31" s="126"/>
      <c r="D31" s="109"/>
      <c r="E31" s="125" t="s">
        <v>54</v>
      </c>
      <c r="F31" s="126"/>
    </row>
    <row r="32" spans="1:6" ht="16.2" thickBot="1" x14ac:dyDescent="0.35">
      <c r="B32" s="69" t="s">
        <v>39</v>
      </c>
      <c r="C32" s="83">
        <v>8500000</v>
      </c>
      <c r="D32" s="109"/>
      <c r="E32" s="82" t="s">
        <v>59</v>
      </c>
      <c r="F32" s="100">
        <f>C13-F13+C19+C21+C22+C23+C24</f>
        <v>32845790</v>
      </c>
    </row>
    <row r="33" spans="2:6" x14ac:dyDescent="0.3">
      <c r="B33" s="70" t="s">
        <v>40</v>
      </c>
      <c r="C33" s="83">
        <v>22000</v>
      </c>
      <c r="D33" s="109"/>
      <c r="E33" s="109"/>
      <c r="F33" s="114"/>
    </row>
    <row r="34" spans="2:6" x14ac:dyDescent="0.3">
      <c r="B34" s="65" t="s">
        <v>26</v>
      </c>
      <c r="C34" s="85">
        <f>F18</f>
        <v>5225600</v>
      </c>
      <c r="D34" s="109"/>
      <c r="E34" s="109"/>
      <c r="F34" s="114"/>
    </row>
    <row r="35" spans="2:6" x14ac:dyDescent="0.3">
      <c r="B35" s="65" t="s">
        <v>41</v>
      </c>
      <c r="C35" s="85">
        <f>C42</f>
        <v>8522000</v>
      </c>
      <c r="D35" s="109"/>
      <c r="E35" s="109"/>
      <c r="F35" s="114"/>
    </row>
    <row r="36" spans="2:6" x14ac:dyDescent="0.3">
      <c r="B36" s="65" t="s">
        <v>42</v>
      </c>
      <c r="C36" s="85">
        <f>C43</f>
        <v>0</v>
      </c>
      <c r="D36" s="109"/>
      <c r="E36" s="109"/>
      <c r="F36" s="114"/>
    </row>
    <row r="37" spans="2:6" x14ac:dyDescent="0.3">
      <c r="B37" s="65" t="s">
        <v>37</v>
      </c>
      <c r="C37" s="84">
        <f>IF(((C32+C33)*90/100)-C36-C35&lt;0,0,((C32+C33)*90/100)-C36-C35)*-1</f>
        <v>0</v>
      </c>
      <c r="D37" s="109"/>
      <c r="E37" s="109"/>
      <c r="F37" s="114"/>
    </row>
    <row r="38" spans="2:6" ht="16.2" thickBot="1" x14ac:dyDescent="0.35">
      <c r="B38" s="66" t="s">
        <v>27</v>
      </c>
      <c r="C38" s="86">
        <f>C32-C34</f>
        <v>3274400</v>
      </c>
      <c r="D38" s="109"/>
      <c r="E38" s="109"/>
      <c r="F38" s="114"/>
    </row>
    <row r="39" spans="2:6" ht="16.2" thickBot="1" x14ac:dyDescent="0.35">
      <c r="B39" s="10"/>
      <c r="C39" s="108"/>
      <c r="D39" s="109"/>
      <c r="E39" s="109"/>
      <c r="F39" s="110"/>
    </row>
    <row r="40" spans="2:6" x14ac:dyDescent="0.3">
      <c r="B40" s="123" t="s">
        <v>43</v>
      </c>
      <c r="C40" s="124"/>
      <c r="D40" s="109"/>
      <c r="E40" s="123" t="s">
        <v>52</v>
      </c>
      <c r="F40" s="124"/>
    </row>
    <row r="41" spans="2:6" x14ac:dyDescent="0.3">
      <c r="B41" s="34" t="s">
        <v>44</v>
      </c>
      <c r="C41" s="89">
        <v>4012000</v>
      </c>
      <c r="D41" s="109"/>
      <c r="E41" s="34" t="s">
        <v>53</v>
      </c>
      <c r="F41" s="71">
        <v>9873000</v>
      </c>
    </row>
    <row r="42" spans="2:6" x14ac:dyDescent="0.3">
      <c r="B42" s="34" t="s">
        <v>45</v>
      </c>
      <c r="C42" s="89">
        <v>8522000</v>
      </c>
      <c r="D42" s="109"/>
      <c r="E42" s="80"/>
      <c r="F42" s="81"/>
    </row>
    <row r="43" spans="2:6" x14ac:dyDescent="0.3">
      <c r="B43" s="34" t="s">
        <v>46</v>
      </c>
      <c r="C43" s="89"/>
      <c r="D43" s="109"/>
      <c r="E43" s="80"/>
      <c r="F43" s="81"/>
    </row>
    <row r="44" spans="2:6" x14ac:dyDescent="0.3">
      <c r="B44" s="34" t="s">
        <v>48</v>
      </c>
      <c r="C44" s="89">
        <f>(C32+C33)*10%</f>
        <v>852200</v>
      </c>
      <c r="D44" s="109"/>
      <c r="E44" s="80"/>
      <c r="F44" s="81"/>
    </row>
    <row r="45" spans="2:6" x14ac:dyDescent="0.3">
      <c r="B45" s="34" t="s">
        <v>47</v>
      </c>
      <c r="C45" s="89"/>
      <c r="D45" s="109"/>
      <c r="E45" s="80"/>
      <c r="F45" s="81"/>
    </row>
    <row r="46" spans="2:6" x14ac:dyDescent="0.3">
      <c r="B46" s="25"/>
      <c r="C46" s="90"/>
      <c r="D46" s="109"/>
      <c r="E46" s="80"/>
      <c r="F46" s="81"/>
    </row>
    <row r="47" spans="2:6" ht="16.2" thickBot="1" x14ac:dyDescent="0.35">
      <c r="B47" s="72" t="s">
        <v>49</v>
      </c>
      <c r="C47" s="91"/>
      <c r="D47" s="109"/>
      <c r="E47" s="72" t="s">
        <v>49</v>
      </c>
      <c r="F47" s="103">
        <v>0</v>
      </c>
    </row>
    <row r="48" spans="2:6" ht="16.2" thickBot="1" x14ac:dyDescent="0.35">
      <c r="B48" s="10"/>
      <c r="C48" s="108"/>
      <c r="D48" s="109"/>
      <c r="E48" s="109"/>
      <c r="F48" s="110"/>
    </row>
    <row r="49" spans="2:9" ht="16.2" thickBot="1" x14ac:dyDescent="0.35">
      <c r="B49" s="127" t="s">
        <v>69</v>
      </c>
      <c r="C49" s="128"/>
      <c r="D49" s="109"/>
      <c r="E49" s="109"/>
      <c r="F49" s="110"/>
    </row>
    <row r="50" spans="2:9" x14ac:dyDescent="0.3">
      <c r="B50" s="73" t="s">
        <v>70</v>
      </c>
      <c r="C50" s="87">
        <f>C51+C53+C54+C55+C52</f>
        <v>10089800</v>
      </c>
      <c r="D50" s="109"/>
      <c r="E50" s="109"/>
      <c r="F50" s="110"/>
    </row>
    <row r="51" spans="2:9" x14ac:dyDescent="0.3">
      <c r="B51" s="74" t="str">
        <f>UPPER(B41)</f>
        <v>DESPESAS - FONTE 1 500 1001 (IMPOSTOS)</v>
      </c>
      <c r="C51" s="85">
        <f>C41</f>
        <v>4012000</v>
      </c>
      <c r="D51" s="109"/>
      <c r="E51" s="109"/>
      <c r="F51" s="110"/>
    </row>
    <row r="52" spans="2:9" x14ac:dyDescent="0.3">
      <c r="B52" s="74" t="s">
        <v>60</v>
      </c>
      <c r="C52" s="85">
        <f>C44+C45</f>
        <v>852200</v>
      </c>
      <c r="D52" s="109"/>
      <c r="E52" s="109"/>
      <c r="F52" s="110"/>
    </row>
    <row r="53" spans="2:9" x14ac:dyDescent="0.3">
      <c r="B53" s="74" t="str">
        <f>B34</f>
        <v>DEDUÇÃO DO FUNDEB</v>
      </c>
      <c r="C53" s="85">
        <f>C34</f>
        <v>5225600</v>
      </c>
      <c r="D53" s="109"/>
      <c r="E53" s="109"/>
      <c r="F53" s="110"/>
    </row>
    <row r="54" spans="2:9" x14ac:dyDescent="0.3">
      <c r="B54" s="74" t="str">
        <f>B37&amp;"  (-)"</f>
        <v>RECEITA FUNDEB NÃO UTILIZADA (SUPERIOR A 10%)  (-)</v>
      </c>
      <c r="C54" s="84">
        <f>C37</f>
        <v>0</v>
      </c>
      <c r="D54" s="109"/>
      <c r="E54" s="109"/>
      <c r="F54" s="110"/>
    </row>
    <row r="55" spans="2:9" ht="16.2" thickBot="1" x14ac:dyDescent="0.35">
      <c r="B55" s="76" t="str">
        <f>UPPER(B47)</f>
        <v>RESTOS A PAGAR CANCELADOS (-)</v>
      </c>
      <c r="C55" s="88">
        <f>C47*-1</f>
        <v>0</v>
      </c>
      <c r="D55" s="109"/>
      <c r="E55" s="109"/>
      <c r="F55" s="110"/>
    </row>
    <row r="56" spans="2:9" ht="16.2" thickBot="1" x14ac:dyDescent="0.35">
      <c r="B56" s="25"/>
      <c r="D56" s="109"/>
      <c r="E56" s="127" t="s">
        <v>73</v>
      </c>
      <c r="F56" s="128"/>
    </row>
    <row r="57" spans="2:9" x14ac:dyDescent="0.3">
      <c r="B57" s="78" t="str">
        <f>B27</f>
        <v>TOTAL RECEITA DE IMPOSTOS</v>
      </c>
      <c r="C57" s="96">
        <f>C27</f>
        <v>34645790</v>
      </c>
      <c r="D57" s="109"/>
      <c r="E57" s="78" t="str">
        <f>E31</f>
        <v>TOTAL RECEITA APLICAÇÃO EM SAÚDE</v>
      </c>
      <c r="F57" s="79">
        <f>F32</f>
        <v>32845790</v>
      </c>
    </row>
    <row r="58" spans="2:9" x14ac:dyDescent="0.3">
      <c r="B58" s="74" t="s">
        <v>71</v>
      </c>
      <c r="C58" s="85">
        <f>C57*25%</f>
        <v>8661447.5</v>
      </c>
      <c r="D58" s="109"/>
      <c r="E58" s="74" t="s">
        <v>72</v>
      </c>
      <c r="F58" s="75">
        <f>F57*15%</f>
        <v>4926868.5</v>
      </c>
    </row>
    <row r="59" spans="2:9" x14ac:dyDescent="0.3">
      <c r="B59" s="74" t="str">
        <f>B50</f>
        <v>TOTAL DAS DESPESAS PRA FINS DE ÍNDICE</v>
      </c>
      <c r="C59" s="85">
        <f>C50</f>
        <v>10089800</v>
      </c>
      <c r="D59" s="109"/>
      <c r="E59" s="74" t="s">
        <v>70</v>
      </c>
      <c r="F59" s="75">
        <f>F41-F47</f>
        <v>9873000</v>
      </c>
    </row>
    <row r="60" spans="2:9" x14ac:dyDescent="0.3">
      <c r="B60" s="74" t="str">
        <f>"VALOR APLICADO A "&amp;IF(C60&gt;0,"MAIOR","MENOR")</f>
        <v>VALOR APLICADO A MAIOR</v>
      </c>
      <c r="C60" s="85">
        <f>C59-C58</f>
        <v>1428352.5</v>
      </c>
      <c r="D60" s="109"/>
      <c r="E60" s="74" t="str">
        <f>"VALOR APLICADO A "&amp;IF(F60&gt;0,"MAIOR","MENOR")</f>
        <v>VALOR APLICADO A MAIOR</v>
      </c>
      <c r="F60" s="75">
        <f>F59-F58</f>
        <v>4946131.5</v>
      </c>
    </row>
    <row r="61" spans="2:9" x14ac:dyDescent="0.3">
      <c r="B61" s="10"/>
      <c r="C61" s="116"/>
      <c r="D61" s="109"/>
      <c r="E61" s="10"/>
      <c r="F61" s="11"/>
    </row>
    <row r="62" spans="2:9" s="2" customFormat="1" ht="16.2" thickBot="1" x14ac:dyDescent="0.35">
      <c r="B62" s="77" t="s">
        <v>50</v>
      </c>
      <c r="C62" s="97">
        <f>C59*100/C57</f>
        <v>29.122730351941751</v>
      </c>
      <c r="D62" s="113"/>
      <c r="E62" s="77" t="s">
        <v>50</v>
      </c>
      <c r="F62" s="36">
        <f>F59*100/F57</f>
        <v>30.058646785478444</v>
      </c>
      <c r="G62" s="1"/>
      <c r="H62"/>
      <c r="I62"/>
    </row>
    <row r="63" spans="2:9" s="2" customFormat="1" x14ac:dyDescent="0.3">
      <c r="B63"/>
      <c r="C63" s="98"/>
      <c r="D63" s="1"/>
      <c r="E63" s="1"/>
      <c r="F63" s="1"/>
      <c r="G63" s="1"/>
      <c r="H63"/>
      <c r="I63"/>
    </row>
    <row r="64" spans="2:9" ht="14.4" x14ac:dyDescent="0.3">
      <c r="B64"/>
      <c r="C64" s="98"/>
    </row>
    <row r="65" spans="2:3" ht="14.4" x14ac:dyDescent="0.3">
      <c r="B65"/>
      <c r="C65" s="98"/>
    </row>
    <row r="66" spans="2:3" ht="14.4" x14ac:dyDescent="0.3">
      <c r="B66"/>
      <c r="C66" s="98"/>
    </row>
    <row r="67" spans="2:3" ht="14.4" x14ac:dyDescent="0.3">
      <c r="B67"/>
      <c r="C67" s="98"/>
    </row>
    <row r="68" spans="2:3" ht="14.4" x14ac:dyDescent="0.3">
      <c r="B68"/>
      <c r="C68" s="98"/>
    </row>
    <row r="69" spans="2:3" ht="14.4" x14ac:dyDescent="0.3">
      <c r="B69"/>
      <c r="C69" s="98"/>
    </row>
    <row r="70" spans="2:3" ht="14.4" x14ac:dyDescent="0.3">
      <c r="B70"/>
      <c r="C70" s="98"/>
    </row>
    <row r="71" spans="2:3" ht="14.4" x14ac:dyDescent="0.3">
      <c r="B71"/>
      <c r="C71" s="98"/>
    </row>
    <row r="72" spans="2:3" ht="14.4" x14ac:dyDescent="0.3">
      <c r="B72"/>
      <c r="C72" s="98"/>
    </row>
    <row r="73" spans="2:3" ht="14.4" x14ac:dyDescent="0.3">
      <c r="B73"/>
      <c r="C73" s="98"/>
    </row>
  </sheetData>
  <mergeCells count="17">
    <mergeCell ref="B29:C29"/>
    <mergeCell ref="E29:F29"/>
    <mergeCell ref="B9:F9"/>
    <mergeCell ref="B3:F3"/>
    <mergeCell ref="B1:F1"/>
    <mergeCell ref="B12:F12"/>
    <mergeCell ref="B8:F8"/>
    <mergeCell ref="B7:F7"/>
    <mergeCell ref="B6:F6"/>
    <mergeCell ref="B5:F5"/>
    <mergeCell ref="B4:F4"/>
    <mergeCell ref="B40:C40"/>
    <mergeCell ref="E40:F40"/>
    <mergeCell ref="E31:F31"/>
    <mergeCell ref="B49:C49"/>
    <mergeCell ref="E56:F56"/>
    <mergeCell ref="B31:C3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R28" sqref="R28"/>
    </sheetView>
  </sheetViews>
  <sheetFormatPr defaultRowHeight="14.4" x14ac:dyDescent="0.3"/>
  <cols>
    <col min="2" max="2" width="42" customWidth="1"/>
    <col min="3" max="3" width="17.6640625" customWidth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MDF 12º - Aplicavel para 2022</vt:lpstr>
      <vt:lpstr>MDF 13º - Aplicavel para 2023</vt:lpstr>
      <vt:lpstr>Planilha3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Grupo Publica</cp:lastModifiedBy>
  <cp:lastPrinted>2019-02-25T14:20:09Z</cp:lastPrinted>
  <dcterms:created xsi:type="dcterms:W3CDTF">2019-02-25T12:17:44Z</dcterms:created>
  <dcterms:modified xsi:type="dcterms:W3CDTF">2023-08-09T16:23:34Z</dcterms:modified>
</cp:coreProperties>
</file>