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firstSheet="7" activeTab="9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<sst xmlns="http://schemas.openxmlformats.org/spreadsheetml/2006/main" count="528" uniqueCount="346">
  <si>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</si>
  <si>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</si>
  <si>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</si>
  <si>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</si>
  <si>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</si>
  <si>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</si>
  <si>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</si>
  <si>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</si>
  <si>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</si>
  <si>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</si>
  <si>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</si>
  <si>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</si>
  <si>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</si>
  <si>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</si>
  <si>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</si>
  <si>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</si>
  <si>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</si>
  <si>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</si>
  <si>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</si>
  <si>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</si>
  <si>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</si>
  <si>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</si>
  <si>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</si>
  <si>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</si>
  <si>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</si>
  <si>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</si>
  <si>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</si>
  <si>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</si>
  <si>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</si>
  <si>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</si>
  <si>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</si>
  <si>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</si>
  <si>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</si>
  <si>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</si>
  <si>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</si>
  <si>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</si>
  <si>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</si>
  <si>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</si>
  <si>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</si>
  <si>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</si>
  <si>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</si>
  <si>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</si>
  <si>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</si>
  <si>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</si>
  <si>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</si>
  <si>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</si>
  <si>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</si>
  <si>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</si>
  <si>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</si>
  <si>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</si>
  <si>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</si>
  <si>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</si>
  <si>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</si>
  <si>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</si>
  <si>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</si>
  <si>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</si>
  <si>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</si>
  <si>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</si>
  <si>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</si>
  <si>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</si>
  <si>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</si>
  <si>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</si>
  <si>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</si>
  <si>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</si>
  <si>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</si>
  <si>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</si>
  <si>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</si>
  <si>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</si>
  <si>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</si>
  <si>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</si>
  <si>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</si>
  <si>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</si>
  <si>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</si>
  <si>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</si>
  <si>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</si>
  <si>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</si>
  <si>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</si>
  <si>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</si>
  <si>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</si>
  <si>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</si>
  <si>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</si>
  <si>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</si>
  <si>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</si>
  <si>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</si>
  <si>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</si>
  <si>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</si>
  <si>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</si>
  <si>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</si>
  <si>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</si>
  <si>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</si>
  <si>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</si>
  <si>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</si>
  <si>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</si>
  <si>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</si>
  <si>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</si>
  <si>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</si>
  <si>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</si>
  <si>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</si>
  <si>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</si>
  <si>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</si>
  <si>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</si>
  <si>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</si>
  <si>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</si>
  <si>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</si>
  <si>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</si>
  <si>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</si>
  <si>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</si>
  <si>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</si>
  <si>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</si>
  <si>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</si>
  <si>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</si>
  <si>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</si>
  <si>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</si>
  <si>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</si>
  <si>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</si>
  <si>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</si>
  <si>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</si>
  <si>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</si>
  <si>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</si>
  <si>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</si>
  <si>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</si>
  <si>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</si>
  <si>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</si>
  <si>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</si>
  <si>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</si>
  <si>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</si>
  <si>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</si>
  <si>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</si>
  <si>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</si>
  <si>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</si>
  <si>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</si>
  <si>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</si>
  <si>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</si>
  <si>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</si>
  <si>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</si>
  <si>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</si>
  <si>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</si>
  <si>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</si>
  <si>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</si>
  <si>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</si>
  <si>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</si>
  <si>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</si>
  <si>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</si>
  <si>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</si>
  <si>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</si>
  <si>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</si>
  <si>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</si>
  <si>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</si>
  <si>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</si>
  <si>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</si>
  <si>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</si>
  <si>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</si>
  <si>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</si>
  <si>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</si>
  <si>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</si>
  <si>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</si>
  <si>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</si>
  <si>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</si>
  <si>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</si>
  <si>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</si>
  <si>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</si>
  <si>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</si>
  <si>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</si>
  <si>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</si>
  <si>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</si>
  <si>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</si>
  <si>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</si>
  <si>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</si>
  <si>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</si>
  <si>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</si>
  <si>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</si>
  <si>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</si>
  <si>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</si>
  <si>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</si>
  <si>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</si>
  <si>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</si>
  <si>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</si>
  <si>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</si>
  <si>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</si>
  <si>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</si>
  <si>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</si>
  <si>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</si>
  <si>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</si>
  <si>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</si>
  <si>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</si>
  <si>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</si>
  <si>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</si>
  <si>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</si>
  <si>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</si>
  <si>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</si>
  <si>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</si>
  <si>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</si>
  <si>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</si>
  <si>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</si>
  <si>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</si>
  <si>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</si>
  <si>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</si>
  <si>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</si>
  <si>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</si>
  <si>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</si>
  <si>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</si>
  <si>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</si>
  <si>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</si>
  <si>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</si>
  <si>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</si>
  <si>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</si>
  <si>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</si>
  <si>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</si>
  <si>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</si>
  <si>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</si>
  <si>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</si>
  <si>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</si>
  <si>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</si>
  <si>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</si>
  <si>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</si>
  <si>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</si>
  <si>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</si>
  <si>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</si>
  <si>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</si>
  <si>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</si>
  <si>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</si>
  <si>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</si>
  <si>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</si>
  <si>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</si>
  <si>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</si>
  <si>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</si>
  <si>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</si>
  <si>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</si>
  <si>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</si>
  <si>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</si>
  <si>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</si>
  <si>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</si>
  <si>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</si>
  <si>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</si>
  <si>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</si>
  <si>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</si>
  <si>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</si>
  <si>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</si>
  <si>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</si>
  <si>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</si>
  <si>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</si>
  <si>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</si>
  <si>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</si>
  <si>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</si>
  <si>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</si>
  <si>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</si>
  <si>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</si>
  <si>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</si>
  <si>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</si>
  <si>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</si>
  <si>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</si>
  <si>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</si>
  <si>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</si>
  <si>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</si>
  <si>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</si>
  <si>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</si>
  <si>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</si>
  <si>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</si>
  <si>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</si>
  <si>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</si>
  <si>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</si>
  <si>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</si>
  <si>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</si>
  <si>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</si>
  <si>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</si>
  <si>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</si>
  <si>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</si>
  <si>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</si>
  <si>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</si>
  <si>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</si>
  <si>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</si>
  <si>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</si>
  <si>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</si>
  <si>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>ANEXO II - RISCOS FISCAIS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</si>
  <si>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</si>
  <si>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</si>
  <si>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</si>
  <si>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</si>
  <si>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</si>
  <si>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</si>
  <si>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</si>
  <si>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</si>
  <si>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</si>
  <si>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</si>
  <si>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</si>
  <si>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</si>
  <si>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</si>
  <si>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ta, a ampliação da base de cálculo decorrente da variação real do PIB, estimada em 4,75% para o ano</t>
  </si>
  <si>
    <t>contribuições.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</si>
  <si>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</si>
  <si>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</si>
  <si>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</si>
  <si>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</si>
  <si>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</si>
  <si>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</si>
  <si>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</si>
  <si>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</si>
  <si>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</si>
  <si>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</si>
  <si>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</si>
  <si>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</si>
  <si>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</si>
  <si>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</si>
  <si>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forme o Projeto de Lei da LDO da União para 2008, que considera, no aumento permanente da recei-</t>
  </si>
  <si>
    <t>de 2008, bem como outras variáveis tais como o aumento de alíquotas ou criação de novos tributos   e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</si>
  <si>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</si>
  <si>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</si>
  <si>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</si>
  <si>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</si>
  <si>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</si>
  <si>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</si>
  <si>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</si>
  <si>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</si>
  <si>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</si>
  <si>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</si>
  <si>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</si>
  <si>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</si>
  <si>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</si>
  <si>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</si>
  <si>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</si>
  <si>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</si>
  <si>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</si>
  <si>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</si>
  <si>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</si>
  <si>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ESTADO DE SANTA CATARINA</t>
  </si>
  <si>
    <t>CRONOGRAMA DE PAGAMENTOS DA DÍVIDA</t>
  </si>
  <si>
    <t>MUNICIPIO DE QUILOMBO</t>
  </si>
  <si>
    <t>Exercício de 2012</t>
  </si>
  <si>
    <t>Quilombo SC , em 19 de Setembro de 2011</t>
  </si>
  <si>
    <t>a reserva de contingência).</t>
  </si>
  <si>
    <t>deração a posição em 31/12/2009, 31/12/2010 e 31/08/2011 e a evolução prevista de receitas e despesas (exceto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</si>
  <si>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</si>
  <si>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</si>
  <si>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Renúncia de IPTU</t>
  </si>
  <si>
    <t>Descontos IPTU p/pgto à vista</t>
  </si>
  <si>
    <t>Imunes de IPTU</t>
  </si>
  <si>
    <t>Renúncia de Taxas</t>
  </si>
  <si>
    <t>IPTU</t>
  </si>
  <si>
    <t>TAXAS</t>
  </si>
  <si>
    <t>Lei</t>
  </si>
  <si>
    <t>Lei-Planta de Valores</t>
  </si>
  <si>
    <t>Outos Riscos Fiscais</t>
  </si>
  <si>
    <t>da reserva de contingência</t>
  </si>
  <si>
    <t>Abertura de Créditos adicionais com recursos</t>
  </si>
  <si>
    <t xml:space="preserve">   Interpéries e outros cfe art.12</t>
  </si>
  <si>
    <t xml:space="preserve">  da LDO 2012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</si>
</sst>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_);[Red]\(0\)"/>
    <numFmt numFmtId="177" formatCode="#,##0.0"/>
    <numFmt numFmtId="178" formatCode="mmm\-yy"/>
    <numFmt numFmtId="179" formatCode="d/m"/>
    <numFmt numFmtId="180" formatCode="d/m/yy"/>
    <numFmt numFmtId="181" formatCode="mmmm\-yy"/>
    <numFmt numFmtId="182" formatCode="d\-mmm"/>
    <numFmt numFmtId="183" formatCode="0.0"/>
    <numFmt numFmtId="184" formatCode="0.000"/>
    <numFmt numFmtId="185" formatCode="\ @"/>
    <numFmt numFmtId="186" formatCode="\ \ \ \ @"/>
    <numFmt numFmtId="187" formatCode="\ \ \ \ \ @"/>
    <numFmt numFmtId="188" formatCode="\ \ \ \ \ \ \ \ \ \ \ \ \ \ \ @"/>
    <numFmt numFmtId="189" formatCode="0.000%"/>
    <numFmt numFmtId="190" formatCode="_(* #,##0.0_);_(* \(#,##0.0\);_(* &quot;-&quot;??_);_(@_)"/>
    <numFmt numFmtId="191" formatCode="_(* #,##0_);_(* \(#,##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2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1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2" borderId="0" xfId="19" applyNumberFormat="1" applyFont="1" applyFill="1" applyBorder="1" applyAlignment="1">
      <alignment/>
    </xf>
    <xf numFmtId="4" fontId="2" fillId="2" borderId="0" xfId="19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" fontId="2" fillId="0" borderId="4" xfId="0" applyFont="1" applyBorder="1" applyAlignment="1">
      <alignment/>
    </xf>
    <xf numFmtId="1" fontId="2" fillId="0" borderId="5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76" fontId="5" fillId="3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 applyProtection="1">
      <alignment/>
      <protection locked="0"/>
    </xf>
    <xf numFmtId="176" fontId="3" fillId="3" borderId="3" xfId="0" applyNumberFormat="1" applyFont="1" applyFill="1" applyBorder="1" applyAlignment="1" applyProtection="1">
      <alignment horizontal="center"/>
      <protection locked="0"/>
    </xf>
    <xf numFmtId="38" fontId="3" fillId="0" borderId="3" xfId="0" applyNumberFormat="1" applyFont="1" applyBorder="1" applyAlignment="1" applyProtection="1">
      <alignment/>
      <protection locked="0"/>
    </xf>
    <xf numFmtId="38" fontId="3" fillId="0" borderId="6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2" borderId="0" xfId="19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2" borderId="0" xfId="0" applyFont="1" applyFill="1" applyBorder="1" applyAlignment="1" applyProtection="1">
      <alignment horizontal="right"/>
      <protection locked="0"/>
    </xf>
    <xf numFmtId="38" fontId="8" fillId="2" borderId="3" xfId="0" applyNumberFormat="1" applyFont="1" applyFill="1" applyBorder="1" applyAlignment="1" applyProtection="1">
      <alignment/>
      <protection locked="0"/>
    </xf>
    <xf numFmtId="38" fontId="8" fillId="2" borderId="5" xfId="0" applyNumberFormat="1" applyFont="1" applyFill="1" applyBorder="1" applyAlignment="1" applyProtection="1">
      <alignment/>
      <protection locked="0"/>
    </xf>
    <xf numFmtId="176" fontId="3" fillId="3" borderId="6" xfId="0" applyNumberFormat="1" applyFont="1" applyFill="1" applyBorder="1" applyAlignment="1" applyProtection="1">
      <alignment horizontal="center"/>
      <protection locked="0"/>
    </xf>
    <xf numFmtId="176" fontId="5" fillId="3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" borderId="0" xfId="0" applyFont="1" applyFill="1" applyAlignment="1">
      <alignment/>
    </xf>
    <xf numFmtId="1" fontId="12" fillId="3" borderId="0" xfId="0" applyFont="1" applyFill="1" applyAlignment="1">
      <alignment/>
    </xf>
    <xf numFmtId="0" fontId="10" fillId="0" borderId="7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9" xfId="0" applyFont="1" applyBorder="1" applyAlignment="1">
      <alignment/>
    </xf>
    <xf numFmtId="38" fontId="14" fillId="3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" borderId="10" xfId="0" applyFont="1" applyFill="1" applyBorder="1" applyAlignment="1">
      <alignment horizontal="center" vertical="center" wrapText="1"/>
    </xf>
    <xf numFmtId="1" fontId="14" fillId="4" borderId="9" xfId="0" applyFont="1" applyFill="1" applyBorder="1" applyAlignment="1" applyProtection="1">
      <alignment/>
      <protection locked="0"/>
    </xf>
    <xf numFmtId="10" fontId="14" fillId="4" borderId="2" xfId="0" applyNumberFormat="1" applyFont="1" applyFill="1" applyBorder="1" applyAlignment="1" applyProtection="1">
      <alignment horizontal="center"/>
      <protection locked="0"/>
    </xf>
    <xf numFmtId="1" fontId="14" fillId="5" borderId="9" xfId="0" applyFont="1" applyFill="1" applyBorder="1" applyAlignment="1">
      <alignment/>
    </xf>
    <xf numFmtId="1" fontId="14" fillId="4" borderId="9" xfId="0" applyFont="1" applyFill="1" applyBorder="1" applyAlignment="1">
      <alignment/>
    </xf>
    <xf numFmtId="1" fontId="1" fillId="0" borderId="9" xfId="0" applyFont="1" applyBorder="1" applyAlignment="1">
      <alignment/>
    </xf>
    <xf numFmtId="1" fontId="16" fillId="0" borderId="11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12" xfId="0" applyFont="1" applyBorder="1" applyAlignment="1">
      <alignment wrapText="1"/>
    </xf>
    <xf numFmtId="1" fontId="18" fillId="0" borderId="13" xfId="0" applyFont="1" applyBorder="1" applyAlignment="1">
      <alignment horizontal="center" vertical="center" wrapText="1"/>
    </xf>
    <xf numFmtId="1" fontId="18" fillId="0" borderId="14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15" xfId="0" applyFont="1" applyBorder="1" applyAlignment="1">
      <alignment horizontal="center" vertical="top" wrapText="1"/>
    </xf>
    <xf numFmtId="1" fontId="18" fillId="0" borderId="16" xfId="0" applyFont="1" applyBorder="1" applyAlignment="1">
      <alignment horizontal="center" vertical="top" wrapText="1"/>
    </xf>
    <xf numFmtId="1" fontId="18" fillId="0" borderId="17" xfId="0" applyFont="1" applyBorder="1" applyAlignment="1">
      <alignment horizontal="center" wrapText="1"/>
    </xf>
    <xf numFmtId="1" fontId="18" fillId="0" borderId="18" xfId="0" applyFont="1" applyBorder="1" applyAlignment="1">
      <alignment horizontal="center" vertical="top" wrapText="1"/>
    </xf>
    <xf numFmtId="1" fontId="18" fillId="0" borderId="19" xfId="0" applyFont="1" applyBorder="1" applyAlignment="1">
      <alignment horizontal="center" vertical="top" wrapText="1"/>
    </xf>
    <xf numFmtId="1" fontId="18" fillId="0" borderId="20" xfId="0" applyFont="1" applyBorder="1" applyAlignment="1">
      <alignment horizontal="center" wrapText="1"/>
    </xf>
    <xf numFmtId="1" fontId="18" fillId="0" borderId="21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top" wrapText="1"/>
    </xf>
    <xf numFmtId="1" fontId="0" fillId="0" borderId="23" xfId="0" applyBorder="1" applyAlignment="1">
      <alignment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24" xfId="0" applyFont="1" applyBorder="1" applyAlignment="1">
      <alignment horizontal="center" wrapText="1"/>
    </xf>
    <xf numFmtId="1" fontId="18" fillId="0" borderId="25" xfId="0" applyFont="1" applyBorder="1" applyAlignment="1">
      <alignment wrapText="1"/>
    </xf>
    <xf numFmtId="1" fontId="20" fillId="0" borderId="25" xfId="0" applyFont="1" applyBorder="1" applyAlignment="1">
      <alignment wrapText="1"/>
    </xf>
    <xf numFmtId="1" fontId="18" fillId="0" borderId="21" xfId="0" applyFont="1" applyBorder="1" applyAlignment="1">
      <alignment wrapText="1"/>
    </xf>
    <xf numFmtId="1" fontId="20" fillId="0" borderId="21" xfId="0" applyFont="1" applyBorder="1" applyAlignment="1">
      <alignment wrapText="1"/>
    </xf>
    <xf numFmtId="1" fontId="18" fillId="0" borderId="26" xfId="0" applyFont="1" applyBorder="1" applyAlignment="1">
      <alignment horizontal="center" vertical="center" wrapText="1"/>
    </xf>
    <xf numFmtId="1" fontId="18" fillId="0" borderId="21" xfId="0" applyFont="1" applyBorder="1" applyAlignment="1">
      <alignment horizontal="center" wrapText="1"/>
    </xf>
    <xf numFmtId="1" fontId="20" fillId="0" borderId="21" xfId="0" applyFont="1" applyBorder="1" applyAlignment="1">
      <alignment vertical="top" wrapText="1"/>
    </xf>
    <xf numFmtId="1" fontId="20" fillId="0" borderId="12" xfId="0" applyFont="1" applyBorder="1" applyAlignment="1">
      <alignment vertical="top" wrapText="1"/>
    </xf>
    <xf numFmtId="1" fontId="18" fillId="0" borderId="25" xfId="0" applyFont="1" applyBorder="1" applyAlignment="1">
      <alignment vertical="top" wrapText="1"/>
    </xf>
    <xf numFmtId="1" fontId="18" fillId="0" borderId="21" xfId="0" applyFont="1" applyBorder="1" applyAlignment="1">
      <alignment vertical="top" wrapText="1"/>
    </xf>
    <xf numFmtId="1" fontId="20" fillId="0" borderId="27" xfId="0" applyFont="1" applyBorder="1" applyAlignment="1">
      <alignment vertical="top" wrapText="1"/>
    </xf>
    <xf numFmtId="1" fontId="18" fillId="0" borderId="28" xfId="0" applyFont="1" applyBorder="1" applyAlignment="1">
      <alignment vertical="center"/>
    </xf>
    <xf numFmtId="1" fontId="0" fillId="0" borderId="28" xfId="0" applyBorder="1" applyAlignment="1">
      <alignment vertical="center"/>
    </xf>
    <xf numFmtId="1" fontId="18" fillId="0" borderId="28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29" xfId="0" applyFont="1" applyBorder="1" applyAlignment="1">
      <alignment wrapText="1"/>
    </xf>
    <xf numFmtId="1" fontId="18" fillId="0" borderId="21" xfId="0" applyFont="1" applyBorder="1" applyAlignment="1">
      <alignment horizontal="center" vertical="top" wrapText="1"/>
    </xf>
    <xf numFmtId="1" fontId="18" fillId="0" borderId="14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21" fillId="0" borderId="25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21" xfId="0" applyFont="1" applyBorder="1" applyAlignment="1">
      <alignment horizontal="justify" vertical="top" wrapText="1"/>
    </xf>
    <xf numFmtId="1" fontId="18" fillId="0" borderId="21" xfId="0" applyFont="1" applyBorder="1" applyAlignment="1">
      <alignment horizontal="justify" vertical="top" wrapText="1"/>
    </xf>
    <xf numFmtId="8" fontId="18" fillId="0" borderId="12" xfId="0" applyNumberFormat="1" applyFont="1" applyBorder="1" applyAlignment="1">
      <alignment horizontal="right" wrapText="1"/>
    </xf>
    <xf numFmtId="8" fontId="18" fillId="0" borderId="12" xfId="0" applyNumberFormat="1" applyFont="1" applyBorder="1" applyAlignment="1">
      <alignment horizontal="right" vertical="top" wrapText="1"/>
    </xf>
    <xf numFmtId="8" fontId="18" fillId="0" borderId="30" xfId="0" applyNumberFormat="1" applyFont="1" applyBorder="1" applyAlignment="1">
      <alignment horizontal="right" vertical="center" wrapText="1"/>
    </xf>
    <xf numFmtId="8" fontId="18" fillId="0" borderId="29" xfId="0" applyNumberFormat="1" applyFont="1" applyBorder="1" applyAlignment="1">
      <alignment horizontal="right" wrapText="1"/>
    </xf>
    <xf numFmtId="41" fontId="20" fillId="0" borderId="25" xfId="0" applyNumberFormat="1" applyFont="1" applyBorder="1" applyAlignment="1">
      <alignment wrapText="1"/>
    </xf>
    <xf numFmtId="41" fontId="20" fillId="0" borderId="21" xfId="0" applyNumberFormat="1" applyFont="1" applyBorder="1" applyAlignment="1">
      <alignment wrapText="1"/>
    </xf>
    <xf numFmtId="1" fontId="0" fillId="0" borderId="0" xfId="0" applyFont="1" applyAlignment="1">
      <alignment/>
    </xf>
    <xf numFmtId="1" fontId="22" fillId="0" borderId="12" xfId="0" applyFont="1" applyBorder="1" applyAlignment="1">
      <alignment horizontal="justify" wrapText="1"/>
    </xf>
    <xf numFmtId="1" fontId="2" fillId="0" borderId="31" xfId="0" applyFont="1" applyBorder="1" applyAlignment="1">
      <alignment wrapText="1"/>
    </xf>
    <xf numFmtId="1" fontId="22" fillId="0" borderId="26" xfId="0" applyFont="1" applyBorder="1" applyAlignment="1">
      <alignment horizontal="center" vertical="center" wrapText="1"/>
    </xf>
    <xf numFmtId="1" fontId="2" fillId="0" borderId="32" xfId="0" applyFont="1" applyBorder="1" applyAlignment="1">
      <alignment horizontal="center" wrapText="1"/>
    </xf>
    <xf numFmtId="1" fontId="22" fillId="0" borderId="21" xfId="0" applyFont="1" applyBorder="1" applyAlignment="1">
      <alignment horizontal="center" wrapText="1"/>
    </xf>
    <xf numFmtId="1" fontId="22" fillId="0" borderId="25" xfId="0" applyFont="1" applyBorder="1" applyAlignment="1">
      <alignment wrapText="1"/>
    </xf>
    <xf numFmtId="189" fontId="2" fillId="0" borderId="25" xfId="0" applyNumberFormat="1" applyFont="1" applyBorder="1" applyAlignment="1">
      <alignment wrapText="1"/>
    </xf>
    <xf numFmtId="1" fontId="22" fillId="0" borderId="21" xfId="0" applyFont="1" applyBorder="1" applyAlignment="1">
      <alignment wrapText="1"/>
    </xf>
    <xf numFmtId="41" fontId="2" fillId="0" borderId="25" xfId="0" applyNumberFormat="1" applyFont="1" applyBorder="1" applyAlignment="1">
      <alignment wrapText="1"/>
    </xf>
    <xf numFmtId="41" fontId="2" fillId="0" borderId="21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2" borderId="0" xfId="0" applyFont="1" applyFill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3" xfId="0" applyNumberFormat="1" applyFont="1" applyBorder="1" applyAlignment="1">
      <alignment/>
    </xf>
    <xf numFmtId="8" fontId="22" fillId="0" borderId="12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center" vertical="center" wrapText="1"/>
    </xf>
    <xf numFmtId="1" fontId="2" fillId="0" borderId="12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12" xfId="0" applyFont="1" applyBorder="1" applyAlignment="1">
      <alignment vertical="top" wrapText="1"/>
    </xf>
    <xf numFmtId="8" fontId="24" fillId="0" borderId="12" xfId="0" applyNumberFormat="1" applyFont="1" applyBorder="1" applyAlignment="1">
      <alignment horizontal="right" vertical="top" wrapText="1"/>
    </xf>
    <xf numFmtId="1" fontId="24" fillId="0" borderId="21" xfId="0" applyFont="1" applyBorder="1" applyAlignment="1">
      <alignment horizontal="center" vertical="center" wrapText="1"/>
    </xf>
    <xf numFmtId="1" fontId="24" fillId="0" borderId="26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25" xfId="0" applyFont="1" applyBorder="1" applyAlignment="1">
      <alignment vertical="top" wrapText="1"/>
    </xf>
    <xf numFmtId="41" fontId="24" fillId="0" borderId="25" xfId="0" applyNumberFormat="1" applyFont="1" applyBorder="1" applyAlignment="1">
      <alignment vertical="top" wrapText="1"/>
    </xf>
    <xf numFmtId="1" fontId="24" fillId="0" borderId="21" xfId="0" applyFont="1" applyBorder="1" applyAlignment="1">
      <alignment vertical="top" wrapText="1"/>
    </xf>
    <xf numFmtId="41" fontId="24" fillId="0" borderId="21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26" xfId="0" applyFont="1" applyBorder="1" applyAlignment="1">
      <alignment vertical="top" wrapText="1"/>
    </xf>
    <xf numFmtId="41" fontId="20" fillId="0" borderId="25" xfId="0" applyNumberFormat="1" applyFont="1" applyBorder="1" applyAlignment="1">
      <alignment horizontal="left" vertical="top" wrapText="1"/>
    </xf>
    <xf numFmtId="41" fontId="20" fillId="0" borderId="0" xfId="0" applyNumberFormat="1" applyFont="1" applyAlignment="1">
      <alignment horizontal="left" vertical="top" wrapText="1"/>
    </xf>
    <xf numFmtId="41" fontId="20" fillId="0" borderId="21" xfId="0" applyNumberFormat="1" applyFont="1" applyBorder="1" applyAlignment="1">
      <alignment horizontal="left" vertical="top" wrapText="1"/>
    </xf>
    <xf numFmtId="41" fontId="20" fillId="0" borderId="26" xfId="0" applyNumberFormat="1" applyFont="1" applyBorder="1" applyAlignment="1">
      <alignment horizontal="left" vertical="top" wrapText="1"/>
    </xf>
    <xf numFmtId="41" fontId="20" fillId="0" borderId="26" xfId="0" applyNumberFormat="1" applyFont="1" applyBorder="1" applyAlignment="1">
      <alignment wrapText="1"/>
    </xf>
    <xf numFmtId="41" fontId="21" fillId="0" borderId="25" xfId="0" applyNumberFormat="1" applyFont="1" applyBorder="1" applyAlignment="1">
      <alignment horizontal="right" vertical="top" wrapText="1"/>
    </xf>
    <xf numFmtId="41" fontId="21" fillId="0" borderId="21" xfId="0" applyNumberFormat="1" applyFont="1" applyBorder="1" applyAlignment="1">
      <alignment horizontal="right" vertical="top" wrapText="1"/>
    </xf>
    <xf numFmtId="41" fontId="21" fillId="0" borderId="0" xfId="0" applyNumberFormat="1" applyFont="1" applyAlignment="1">
      <alignment horizontal="right" vertical="top" wrapText="1"/>
    </xf>
    <xf numFmtId="41" fontId="21" fillId="0" borderId="26" xfId="0" applyNumberFormat="1" applyFont="1" applyBorder="1" applyAlignment="1">
      <alignment horizontal="right" vertical="top" wrapText="1"/>
    </xf>
    <xf numFmtId="41" fontId="24" fillId="3" borderId="21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14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21" xfId="0" applyFont="1" applyBorder="1" applyAlignment="1">
      <alignment horizontal="center" vertical="center" wrapText="1"/>
    </xf>
    <xf numFmtId="41" fontId="25" fillId="0" borderId="21" xfId="0" applyNumberFormat="1" applyFont="1" applyBorder="1" applyAlignment="1">
      <alignment horizontal="left" vertical="top" wrapText="1"/>
    </xf>
    <xf numFmtId="41" fontId="25" fillId="0" borderId="26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25" xfId="0" applyFont="1" applyBorder="1" applyAlignment="1">
      <alignment horizontal="left" vertical="top" wrapText="1"/>
    </xf>
    <xf numFmtId="41" fontId="20" fillId="0" borderId="34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6" borderId="35" xfId="0" applyFont="1" applyFill="1" applyBorder="1" applyAlignment="1">
      <alignment/>
    </xf>
    <xf numFmtId="1" fontId="11" fillId="6" borderId="36" xfId="0" applyFont="1" applyFill="1" applyBorder="1" applyAlignment="1">
      <alignment/>
    </xf>
    <xf numFmtId="1" fontId="0" fillId="6" borderId="36" xfId="0" applyFill="1" applyBorder="1" applyAlignment="1">
      <alignment/>
    </xf>
    <xf numFmtId="1" fontId="10" fillId="6" borderId="35" xfId="0" applyFont="1" applyFill="1" applyBorder="1" applyAlignment="1">
      <alignment/>
    </xf>
    <xf numFmtId="1" fontId="10" fillId="6" borderId="37" xfId="0" applyFont="1" applyFill="1" applyBorder="1" applyAlignment="1">
      <alignment/>
    </xf>
    <xf numFmtId="1" fontId="10" fillId="6" borderId="36" xfId="0" applyFont="1" applyFill="1" applyBorder="1" applyAlignment="1">
      <alignment/>
    </xf>
    <xf numFmtId="1" fontId="10" fillId="6" borderId="25" xfId="0" applyFont="1" applyFill="1" applyBorder="1" applyAlignment="1">
      <alignment/>
    </xf>
    <xf numFmtId="1" fontId="0" fillId="6" borderId="36" xfId="0" applyFont="1" applyFill="1" applyBorder="1" applyAlignment="1">
      <alignment/>
    </xf>
    <xf numFmtId="1" fontId="0" fillId="6" borderId="25" xfId="0" applyFont="1" applyFill="1" applyBorder="1" applyAlignment="1">
      <alignment/>
    </xf>
    <xf numFmtId="1" fontId="10" fillId="6" borderId="21" xfId="0" applyFont="1" applyFill="1" applyBorder="1" applyAlignment="1">
      <alignment/>
    </xf>
    <xf numFmtId="1" fontId="0" fillId="6" borderId="27" xfId="0" applyFont="1" applyFill="1" applyBorder="1" applyAlignment="1">
      <alignment/>
    </xf>
    <xf numFmtId="1" fontId="0" fillId="6" borderId="38" xfId="0" applyFont="1" applyFill="1" applyBorder="1" applyAlignment="1">
      <alignment/>
    </xf>
    <xf numFmtId="1" fontId="0" fillId="6" borderId="32" xfId="0" applyFont="1" applyFill="1" applyBorder="1" applyAlignment="1">
      <alignment/>
    </xf>
    <xf numFmtId="1" fontId="10" fillId="6" borderId="39" xfId="0" applyFont="1" applyFill="1" applyBorder="1" applyAlignment="1">
      <alignment/>
    </xf>
    <xf numFmtId="1" fontId="10" fillId="6" borderId="38" xfId="0" applyFont="1" applyFill="1" applyBorder="1" applyAlignment="1">
      <alignment/>
    </xf>
    <xf numFmtId="1" fontId="0" fillId="6" borderId="27" xfId="0" applyFill="1" applyBorder="1" applyAlignment="1">
      <alignment/>
    </xf>
    <xf numFmtId="4" fontId="10" fillId="6" borderId="34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34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2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2" borderId="0" xfId="0" applyFont="1" applyFill="1" applyBorder="1" applyAlignment="1" applyProtection="1">
      <alignment horizontal="right"/>
      <protection locked="0"/>
    </xf>
    <xf numFmtId="176" fontId="14" fillId="3" borderId="40" xfId="0" applyNumberFormat="1" applyFont="1" applyFill="1" applyBorder="1" applyAlignment="1" applyProtection="1">
      <alignment horizontal="center"/>
      <protection locked="0"/>
    </xf>
    <xf numFmtId="176" fontId="14" fillId="3" borderId="41" xfId="0" applyNumberFormat="1" applyFont="1" applyFill="1" applyBorder="1" applyAlignment="1" applyProtection="1">
      <alignment horizontal="center"/>
      <protection locked="0"/>
    </xf>
    <xf numFmtId="176" fontId="14" fillId="3" borderId="42" xfId="0" applyNumberFormat="1" applyFont="1" applyFill="1" applyBorder="1" applyAlignment="1" applyProtection="1">
      <alignment horizontal="center"/>
      <protection locked="0"/>
    </xf>
    <xf numFmtId="176" fontId="1" fillId="3" borderId="2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3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 applyProtection="1">
      <alignment horizontal="right"/>
      <protection locked="0"/>
    </xf>
    <xf numFmtId="3" fontId="14" fillId="3" borderId="3" xfId="0" applyNumberFormat="1" applyFont="1" applyFill="1" applyBorder="1" applyAlignment="1" applyProtection="1">
      <alignment horizontal="right"/>
      <protection locked="0"/>
    </xf>
    <xf numFmtId="3" fontId="14" fillId="3" borderId="43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2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9" xfId="0" applyNumberFormat="1" applyFont="1" applyBorder="1" applyAlignment="1" applyProtection="1">
      <alignment/>
      <protection locked="0"/>
    </xf>
    <xf numFmtId="4" fontId="28" fillId="2" borderId="2" xfId="0" applyNumberFormat="1" applyFont="1" applyFill="1" applyBorder="1" applyAlignment="1" applyProtection="1">
      <alignment vertical="center"/>
      <protection locked="0"/>
    </xf>
    <xf numFmtId="4" fontId="2" fillId="2" borderId="2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76" fontId="14" fillId="3" borderId="9" xfId="0" applyNumberFormat="1" applyFont="1" applyFill="1" applyBorder="1" applyAlignment="1" applyProtection="1">
      <alignment horizontal="center"/>
      <protection locked="0"/>
    </xf>
    <xf numFmtId="176" fontId="14" fillId="3" borderId="2" xfId="0" applyNumberFormat="1" applyFont="1" applyFill="1" applyBorder="1" applyAlignment="1" applyProtection="1">
      <alignment horizontal="center"/>
      <protection locked="0"/>
    </xf>
    <xf numFmtId="176" fontId="1" fillId="3" borderId="9" xfId="0" applyNumberFormat="1" applyFont="1" applyFill="1" applyBorder="1" applyAlignment="1">
      <alignment horizontal="center" vertical="center"/>
    </xf>
    <xf numFmtId="38" fontId="14" fillId="0" borderId="9" xfId="0" applyNumberFormat="1" applyFont="1" applyBorder="1" applyAlignment="1" applyProtection="1">
      <alignment/>
      <protection locked="0"/>
    </xf>
    <xf numFmtId="38" fontId="14" fillId="0" borderId="2" xfId="0" applyNumberFormat="1" applyFont="1" applyBorder="1" applyAlignment="1" applyProtection="1">
      <alignment/>
      <protection locked="0"/>
    </xf>
    <xf numFmtId="38" fontId="14" fillId="2" borderId="2" xfId="0" applyNumberFormat="1" applyFont="1" applyFill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2" borderId="4" xfId="0" applyNumberFormat="1" applyFont="1" applyFill="1" applyBorder="1" applyAlignment="1" applyProtection="1">
      <alignment/>
      <protection locked="0"/>
    </xf>
    <xf numFmtId="38" fontId="14" fillId="0" borderId="6" xfId="0" applyNumberFormat="1" applyFont="1" applyBorder="1" applyAlignment="1" applyProtection="1">
      <alignment/>
      <protection locked="0"/>
    </xf>
    <xf numFmtId="176" fontId="14" fillId="3" borderId="44" xfId="0" applyNumberFormat="1" applyFont="1" applyFill="1" applyBorder="1" applyAlignment="1" applyProtection="1">
      <alignment horizontal="center"/>
      <protection locked="0"/>
    </xf>
    <xf numFmtId="3" fontId="14" fillId="3" borderId="9" xfId="0" applyNumberFormat="1" applyFont="1" applyFill="1" applyBorder="1" applyAlignment="1" applyProtection="1">
      <alignment horizontal="right"/>
      <protection locked="0"/>
    </xf>
    <xf numFmtId="0" fontId="14" fillId="3" borderId="35" xfId="0" applyNumberFormat="1" applyFont="1" applyFill="1" applyBorder="1" applyAlignment="1" applyProtection="1">
      <alignment horizontal="center" vertical="center"/>
      <protection locked="0"/>
    </xf>
    <xf numFmtId="176" fontId="1" fillId="3" borderId="45" xfId="0" applyNumberFormat="1" applyFont="1" applyFill="1" applyBorder="1" applyAlignment="1">
      <alignment horizontal="center" vertical="center"/>
    </xf>
    <xf numFmtId="0" fontId="14" fillId="3" borderId="36" xfId="0" applyNumberFormat="1" applyFont="1" applyFill="1" applyBorder="1" applyAlignment="1" applyProtection="1">
      <alignment horizontal="center" vertical="center"/>
      <protection locked="0"/>
    </xf>
    <xf numFmtId="175" fontId="1" fillId="3" borderId="46" xfId="17" applyFont="1" applyFill="1" applyBorder="1" applyAlignment="1">
      <alignment horizontal="center" vertical="center"/>
    </xf>
    <xf numFmtId="0" fontId="14" fillId="3" borderId="36" xfId="0" applyNumberFormat="1" applyFont="1" applyFill="1" applyBorder="1" applyAlignment="1" applyProtection="1">
      <alignment horizontal="left"/>
      <protection locked="0"/>
    </xf>
    <xf numFmtId="0" fontId="14" fillId="3" borderId="46" xfId="0" applyNumberFormat="1" applyFont="1" applyFill="1" applyBorder="1" applyAlignment="1" applyProtection="1">
      <alignment horizontal="left"/>
      <protection locked="0"/>
    </xf>
    <xf numFmtId="1" fontId="0" fillId="6" borderId="36" xfId="0" applyFont="1" applyFill="1" applyBorder="1" applyAlignment="1">
      <alignment/>
    </xf>
    <xf numFmtId="1" fontId="0" fillId="6" borderId="25" xfId="0" applyFont="1" applyFill="1" applyBorder="1" applyAlignment="1">
      <alignment/>
    </xf>
    <xf numFmtId="1" fontId="13" fillId="6" borderId="27" xfId="0" applyFont="1" applyFill="1" applyBorder="1" applyAlignment="1">
      <alignment/>
    </xf>
    <xf numFmtId="1" fontId="13" fillId="6" borderId="21" xfId="0" applyFont="1" applyFill="1" applyBorder="1" applyAlignment="1">
      <alignment/>
    </xf>
    <xf numFmtId="43" fontId="10" fillId="6" borderId="34" xfId="0" applyNumberFormat="1" applyFont="1" applyFill="1" applyBorder="1" applyAlignment="1">
      <alignment/>
    </xf>
    <xf numFmtId="41" fontId="24" fillId="0" borderId="25" xfId="0" applyNumberFormat="1" applyFont="1" applyFill="1" applyBorder="1" applyAlignment="1">
      <alignment vertical="top" wrapText="1"/>
    </xf>
    <xf numFmtId="41" fontId="24" fillId="0" borderId="21" xfId="0" applyNumberFormat="1" applyFont="1" applyFill="1" applyBorder="1" applyAlignment="1">
      <alignment vertical="top" wrapText="1"/>
    </xf>
    <xf numFmtId="41" fontId="2" fillId="3" borderId="2" xfId="0" applyNumberFormat="1" applyFont="1" applyFill="1" applyBorder="1" applyAlignment="1">
      <alignment/>
    </xf>
    <xf numFmtId="41" fontId="2" fillId="3" borderId="4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" borderId="47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1" fontId="1" fillId="3" borderId="2" xfId="0" applyFont="1" applyFill="1" applyBorder="1" applyAlignment="1">
      <alignment horizontal="center"/>
    </xf>
    <xf numFmtId="1" fontId="1" fillId="0" borderId="48" xfId="0" applyFont="1" applyBorder="1" applyAlignment="1">
      <alignment/>
    </xf>
    <xf numFmtId="41" fontId="1" fillId="3" borderId="33" xfId="0" applyNumberFormat="1" applyFont="1" applyFill="1" applyBorder="1" applyAlignment="1">
      <alignment/>
    </xf>
    <xf numFmtId="1" fontId="2" fillId="2" borderId="0" xfId="0" applyFont="1" applyFill="1" applyBorder="1" applyAlignment="1">
      <alignment/>
    </xf>
    <xf numFmtId="1" fontId="1" fillId="2" borderId="11" xfId="0" applyFont="1" applyFill="1" applyBorder="1" applyAlignment="1">
      <alignment/>
    </xf>
    <xf numFmtId="4" fontId="2" fillId="2" borderId="0" xfId="19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" borderId="3" xfId="0" applyFont="1" applyFill="1" applyBorder="1" applyAlignment="1">
      <alignment horizontal="center"/>
    </xf>
    <xf numFmtId="1" fontId="1" fillId="0" borderId="9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1" fontId="2" fillId="0" borderId="4" xfId="0" applyFont="1" applyBorder="1" applyAlignment="1">
      <alignment/>
    </xf>
    <xf numFmtId="41" fontId="20" fillId="7" borderId="25" xfId="0" applyNumberFormat="1" applyFont="1" applyFill="1" applyBorder="1" applyAlignment="1">
      <alignment wrapText="1"/>
    </xf>
    <xf numFmtId="189" fontId="20" fillId="7" borderId="25" xfId="0" applyNumberFormat="1" applyFont="1" applyFill="1" applyBorder="1" applyAlignment="1">
      <alignment wrapText="1"/>
    </xf>
    <xf numFmtId="41" fontId="2" fillId="3" borderId="25" xfId="0" applyNumberFormat="1" applyFont="1" applyFill="1" applyBorder="1" applyAlignment="1">
      <alignment wrapText="1"/>
    </xf>
    <xf numFmtId="189" fontId="2" fillId="3" borderId="25" xfId="0" applyNumberFormat="1" applyFont="1" applyFill="1" applyBorder="1" applyAlignment="1">
      <alignment wrapText="1"/>
    </xf>
    <xf numFmtId="41" fontId="2" fillId="3" borderId="25" xfId="0" applyNumberFormat="1" applyFont="1" applyFill="1" applyBorder="1" applyAlignment="1">
      <alignment horizontal="right" wrapText="1"/>
    </xf>
    <xf numFmtId="41" fontId="2" fillId="3" borderId="25" xfId="0" applyNumberFormat="1" applyFont="1" applyFill="1" applyBorder="1" applyAlignment="1">
      <alignment vertical="top" wrapText="1"/>
    </xf>
    <xf numFmtId="10" fontId="2" fillId="3" borderId="0" xfId="0" applyNumberFormat="1" applyFont="1" applyFill="1" applyAlignment="1">
      <alignment vertical="top" wrapText="1"/>
    </xf>
    <xf numFmtId="10" fontId="2" fillId="3" borderId="25" xfId="0" applyNumberFormat="1" applyFont="1" applyFill="1" applyBorder="1" applyAlignment="1">
      <alignment wrapText="1"/>
    </xf>
    <xf numFmtId="10" fontId="2" fillId="3" borderId="21" xfId="0" applyNumberFormat="1" applyFont="1" applyFill="1" applyBorder="1" applyAlignment="1">
      <alignment wrapText="1"/>
    </xf>
    <xf numFmtId="41" fontId="2" fillId="3" borderId="21" xfId="0" applyNumberFormat="1" applyFont="1" applyFill="1" applyBorder="1" applyAlignment="1">
      <alignment wrapText="1"/>
    </xf>
    <xf numFmtId="1" fontId="24" fillId="3" borderId="25" xfId="0" applyFont="1" applyFill="1" applyBorder="1" applyAlignment="1">
      <alignment vertical="top" wrapText="1"/>
    </xf>
    <xf numFmtId="41" fontId="24" fillId="3" borderId="26" xfId="0" applyNumberFormat="1" applyFont="1" applyFill="1" applyBorder="1" applyAlignment="1">
      <alignment vertical="top" wrapText="1"/>
    </xf>
    <xf numFmtId="41" fontId="25" fillId="3" borderId="34" xfId="0" applyNumberFormat="1" applyFont="1" applyFill="1" applyBorder="1" applyAlignment="1">
      <alignment horizontal="left" vertical="top" wrapText="1"/>
    </xf>
    <xf numFmtId="41" fontId="20" fillId="3" borderId="34" xfId="0" applyNumberFormat="1" applyFont="1" applyFill="1" applyBorder="1" applyAlignment="1">
      <alignment horizontal="left" vertical="top" wrapText="1"/>
    </xf>
    <xf numFmtId="41" fontId="25" fillId="3" borderId="14" xfId="0" applyNumberFormat="1" applyFont="1" applyFill="1" applyBorder="1" applyAlignment="1">
      <alignment horizontal="left" vertical="top" wrapText="1"/>
    </xf>
    <xf numFmtId="41" fontId="25" fillId="3" borderId="25" xfId="0" applyNumberFormat="1" applyFont="1" applyFill="1" applyBorder="1" applyAlignment="1">
      <alignment horizontal="left" vertical="top" wrapText="1"/>
    </xf>
    <xf numFmtId="41" fontId="20" fillId="3" borderId="25" xfId="0" applyNumberFormat="1" applyFont="1" applyFill="1" applyBorder="1" applyAlignment="1">
      <alignment horizontal="left" vertical="top" wrapText="1"/>
    </xf>
    <xf numFmtId="41" fontId="25" fillId="3" borderId="21" xfId="0" applyNumberFormat="1" applyFont="1" applyFill="1" applyBorder="1" applyAlignment="1">
      <alignment horizontal="left" vertical="top" wrapText="1"/>
    </xf>
    <xf numFmtId="41" fontId="20" fillId="3" borderId="21" xfId="0" applyNumberFormat="1" applyFont="1" applyFill="1" applyBorder="1" applyAlignment="1">
      <alignment wrapText="1"/>
    </xf>
    <xf numFmtId="41" fontId="21" fillId="3" borderId="21" xfId="0" applyNumberFormat="1" applyFont="1" applyFill="1" applyBorder="1" applyAlignment="1">
      <alignment horizontal="right" vertical="top" wrapText="1"/>
    </xf>
    <xf numFmtId="4" fontId="0" fillId="8" borderId="34" xfId="0" applyNumberFormat="1" applyFont="1" applyFill="1" applyBorder="1" applyAlignment="1">
      <alignment/>
    </xf>
    <xf numFmtId="1" fontId="10" fillId="6" borderId="49" xfId="0" applyFont="1" applyFill="1" applyBorder="1" applyAlignment="1">
      <alignment horizontal="center"/>
    </xf>
    <xf numFmtId="1" fontId="1" fillId="8" borderId="9" xfId="0" applyFont="1" applyFill="1" applyBorder="1" applyAlignment="1">
      <alignment/>
    </xf>
    <xf numFmtId="43" fontId="0" fillId="3" borderId="34" xfId="0" applyNumberFormat="1" applyFont="1" applyFill="1" applyBorder="1" applyAlignment="1">
      <alignment/>
    </xf>
    <xf numFmtId="43" fontId="10" fillId="3" borderId="34" xfId="0" applyNumberFormat="1" applyFont="1" applyFill="1" applyBorder="1" applyAlignment="1">
      <alignment/>
    </xf>
    <xf numFmtId="1" fontId="19" fillId="0" borderId="25" xfId="0" applyFont="1" applyBorder="1" applyAlignment="1">
      <alignment vertical="top" wrapText="1"/>
    </xf>
    <xf numFmtId="1" fontId="19" fillId="0" borderId="21" xfId="0" applyFont="1" applyBorder="1" applyAlignment="1">
      <alignment vertical="top" wrapText="1"/>
    </xf>
    <xf numFmtId="43" fontId="20" fillId="0" borderId="0" xfId="0" applyNumberFormat="1" applyFont="1" applyAlignment="1">
      <alignment vertical="top" wrapText="1"/>
    </xf>
    <xf numFmtId="43" fontId="25" fillId="3" borderId="0" xfId="0" applyNumberFormat="1" applyFont="1" applyFill="1" applyAlignment="1">
      <alignment vertical="top" wrapText="1"/>
    </xf>
    <xf numFmtId="43" fontId="25" fillId="3" borderId="26" xfId="0" applyNumberFormat="1" applyFont="1" applyFill="1" applyBorder="1" applyAlignment="1">
      <alignment vertical="top" wrapText="1"/>
    </xf>
    <xf numFmtId="43" fontId="20" fillId="0" borderId="26" xfId="0" applyNumberFormat="1" applyFont="1" applyBorder="1" applyAlignment="1">
      <alignment vertical="top" wrapText="1"/>
    </xf>
    <xf numFmtId="43" fontId="25" fillId="3" borderId="26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9" xfId="0" applyFont="1" applyFill="1" applyBorder="1" applyAlignment="1">
      <alignment/>
    </xf>
    <xf numFmtId="1" fontId="14" fillId="8" borderId="9" xfId="0" applyFont="1" applyFill="1" applyBorder="1" applyAlignment="1" applyProtection="1">
      <alignment/>
      <protection locked="0"/>
    </xf>
    <xf numFmtId="10" fontId="14" fillId="8" borderId="2" xfId="0" applyNumberFormat="1" applyFont="1" applyFill="1" applyBorder="1" applyAlignment="1" applyProtection="1">
      <alignment horizontal="center"/>
      <protection locked="0"/>
    </xf>
    <xf numFmtId="10" fontId="14" fillId="9" borderId="9" xfId="0" applyNumberFormat="1" applyFont="1" applyFill="1" applyBorder="1" applyAlignment="1" applyProtection="1">
      <alignment horizontal="right"/>
      <protection locked="0"/>
    </xf>
    <xf numFmtId="10" fontId="14" fillId="9" borderId="2" xfId="0" applyNumberFormat="1" applyFont="1" applyFill="1" applyBorder="1" applyAlignment="1" applyProtection="1">
      <alignment horizontal="right"/>
      <protection locked="0"/>
    </xf>
    <xf numFmtId="10" fontId="14" fillId="9" borderId="2" xfId="0" applyNumberFormat="1" applyFont="1" applyFill="1" applyBorder="1" applyAlignment="1" applyProtection="1">
      <alignment horizontal="center"/>
      <protection locked="0"/>
    </xf>
    <xf numFmtId="10" fontId="14" fillId="6" borderId="9" xfId="0" applyNumberFormat="1" applyFont="1" applyFill="1" applyBorder="1" applyAlignment="1" applyProtection="1">
      <alignment horizontal="right"/>
      <protection locked="0"/>
    </xf>
    <xf numFmtId="10" fontId="14" fillId="6" borderId="2" xfId="0" applyNumberFormat="1" applyFont="1" applyFill="1" applyBorder="1" applyAlignment="1" applyProtection="1">
      <alignment horizontal="right"/>
      <protection locked="0"/>
    </xf>
    <xf numFmtId="10" fontId="14" fillId="6" borderId="9" xfId="0" applyNumberFormat="1" applyFont="1" applyFill="1" applyBorder="1" applyAlignment="1">
      <alignment/>
    </xf>
    <xf numFmtId="41" fontId="2" fillId="0" borderId="25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6" borderId="2" xfId="0" applyNumberFormat="1" applyFont="1" applyFill="1" applyBorder="1" applyAlignment="1" applyProtection="1">
      <alignment horizontal="center"/>
      <protection locked="0"/>
    </xf>
    <xf numFmtId="4" fontId="29" fillId="9" borderId="2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12" xfId="0" applyFont="1" applyBorder="1" applyAlignment="1">
      <alignment horizontal="left"/>
    </xf>
    <xf numFmtId="8" fontId="22" fillId="0" borderId="12" xfId="0" applyNumberFormat="1" applyFont="1" applyBorder="1" applyAlignment="1">
      <alignment horizontal="left"/>
    </xf>
    <xf numFmtId="1" fontId="22" fillId="0" borderId="25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25" xfId="0" applyFont="1" applyBorder="1" applyAlignment="1">
      <alignment/>
    </xf>
    <xf numFmtId="41" fontId="22" fillId="3" borderId="25" xfId="0" applyNumberFormat="1" applyFont="1" applyFill="1" applyBorder="1" applyAlignment="1">
      <alignment horizontal="right" wrapText="1"/>
    </xf>
    <xf numFmtId="10" fontId="22" fillId="3" borderId="25" xfId="0" applyNumberFormat="1" applyFont="1" applyFill="1" applyBorder="1" applyAlignment="1">
      <alignment horizontal="right" vertical="top"/>
    </xf>
    <xf numFmtId="41" fontId="22" fillId="3" borderId="25" xfId="0" applyNumberFormat="1" applyFont="1" applyFill="1" applyBorder="1" applyAlignment="1">
      <alignment horizontal="right" vertical="top"/>
    </xf>
    <xf numFmtId="10" fontId="22" fillId="3" borderId="25" xfId="0" applyNumberFormat="1" applyFont="1" applyFill="1" applyBorder="1" applyAlignment="1">
      <alignment horizontal="right" vertical="top" wrapText="1"/>
    </xf>
    <xf numFmtId="41" fontId="22" fillId="3" borderId="25" xfId="0" applyNumberFormat="1" applyFont="1" applyFill="1" applyBorder="1" applyAlignment="1">
      <alignment horizontal="right"/>
    </xf>
    <xf numFmtId="41" fontId="22" fillId="0" borderId="25" xfId="0" applyNumberFormat="1" applyFont="1" applyFill="1" applyBorder="1" applyAlignment="1">
      <alignment horizontal="right"/>
    </xf>
    <xf numFmtId="1" fontId="22" fillId="0" borderId="21" xfId="0" applyFont="1" applyBorder="1" applyAlignment="1">
      <alignment/>
    </xf>
    <xf numFmtId="41" fontId="22" fillId="0" borderId="21" xfId="0" applyNumberFormat="1" applyFont="1" applyFill="1" applyBorder="1" applyAlignment="1">
      <alignment horizontal="right"/>
    </xf>
    <xf numFmtId="41" fontId="22" fillId="3" borderId="21" xfId="0" applyNumberFormat="1" applyFont="1" applyFill="1" applyBorder="1" applyAlignment="1">
      <alignment horizontal="right"/>
    </xf>
    <xf numFmtId="41" fontId="22" fillId="3" borderId="21" xfId="0" applyNumberFormat="1" applyFont="1" applyFill="1" applyBorder="1" applyAlignment="1">
      <alignment horizontal="right" wrapText="1"/>
    </xf>
    <xf numFmtId="1" fontId="22" fillId="0" borderId="37" xfId="0" applyFont="1" applyBorder="1" applyAlignment="1">
      <alignment horizontal="center"/>
    </xf>
    <xf numFmtId="1" fontId="0" fillId="0" borderId="12" xfId="0" applyFont="1" applyBorder="1" applyAlignment="1">
      <alignment wrapText="1"/>
    </xf>
    <xf numFmtId="1" fontId="0" fillId="0" borderId="21" xfId="0" applyFont="1" applyBorder="1" applyAlignment="1">
      <alignment horizontal="center" vertical="center" wrapText="1"/>
    </xf>
    <xf numFmtId="1" fontId="0" fillId="0" borderId="25" xfId="0" applyFont="1" applyBorder="1" applyAlignment="1">
      <alignment wrapText="1"/>
    </xf>
    <xf numFmtId="1" fontId="0" fillId="0" borderId="21" xfId="0" applyFont="1" applyBorder="1" applyAlignment="1">
      <alignment wrapText="1"/>
    </xf>
    <xf numFmtId="1" fontId="10" fillId="0" borderId="21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1" fontId="24" fillId="3" borderId="25" xfId="20" applyNumberFormat="1" applyFont="1" applyFill="1" applyBorder="1" applyAlignment="1">
      <alignment vertical="top" wrapText="1"/>
    </xf>
    <xf numFmtId="191" fontId="24" fillId="3" borderId="21" xfId="20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15" applyAlignment="1">
      <alignment/>
    </xf>
    <xf numFmtId="1" fontId="30" fillId="0" borderId="0" xfId="15" applyFont="1" applyFill="1" applyBorder="1" applyAlignment="1">
      <alignment wrapText="1"/>
    </xf>
    <xf numFmtId="1" fontId="30" fillId="0" borderId="0" xfId="15" applyFont="1" applyFill="1" applyBorder="1" applyAlignment="1">
      <alignment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41" fontId="20" fillId="0" borderId="0" xfId="0" applyNumberFormat="1" applyFont="1" applyBorder="1" applyAlignment="1">
      <alignment wrapText="1"/>
    </xf>
    <xf numFmtId="1" fontId="18" fillId="0" borderId="50" xfId="0" applyFont="1" applyBorder="1" applyAlignment="1">
      <alignment horizontal="left"/>
    </xf>
    <xf numFmtId="1" fontId="20" fillId="0" borderId="12" xfId="0" applyFont="1" applyBorder="1" applyAlignment="1">
      <alignment wrapText="1"/>
    </xf>
    <xf numFmtId="8" fontId="18" fillId="0" borderId="12" xfId="0" applyNumberFormat="1" applyFont="1" applyBorder="1" applyAlignment="1">
      <alignment horizontal="right" wrapText="1"/>
    </xf>
    <xf numFmtId="1" fontId="18" fillId="0" borderId="51" xfId="0" applyFont="1" applyBorder="1" applyAlignment="1">
      <alignment horizontal="center"/>
    </xf>
    <xf numFmtId="1" fontId="18" fillId="0" borderId="20" xfId="0" applyFont="1" applyBorder="1" applyAlignment="1">
      <alignment horizontal="center"/>
    </xf>
    <xf numFmtId="1" fontId="18" fillId="0" borderId="52" xfId="0" applyFont="1" applyBorder="1" applyAlignment="1">
      <alignment horizontal="center"/>
    </xf>
    <xf numFmtId="1" fontId="39" fillId="6" borderId="53" xfId="15" applyFont="1" applyFill="1" applyBorder="1" applyAlignment="1">
      <alignment horizontal="center"/>
    </xf>
    <xf numFmtId="1" fontId="39" fillId="6" borderId="54" xfId="15" applyFont="1" applyFill="1" applyBorder="1" applyAlignment="1">
      <alignment horizontal="center"/>
    </xf>
    <xf numFmtId="1" fontId="1" fillId="3" borderId="10" xfId="0" applyFont="1" applyFill="1" applyBorder="1" applyAlignment="1">
      <alignment horizontal="center" vertical="center" wrapText="1"/>
    </xf>
    <xf numFmtId="1" fontId="1" fillId="3" borderId="9" xfId="0" applyFont="1" applyFill="1" applyBorder="1" applyAlignment="1">
      <alignment horizontal="center" vertical="center" wrapText="1"/>
    </xf>
    <xf numFmtId="1" fontId="32" fillId="0" borderId="0" xfId="0" applyFont="1" applyAlignment="1">
      <alignment horizontal="center"/>
    </xf>
    <xf numFmtId="1" fontId="37" fillId="6" borderId="53" xfId="15" applyFont="1" applyFill="1" applyBorder="1" applyAlignment="1">
      <alignment horizontal="center"/>
    </xf>
    <xf numFmtId="1" fontId="37" fillId="6" borderId="54" xfId="15" applyFont="1" applyFill="1" applyBorder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6" borderId="53" xfId="15" applyFont="1" applyFill="1" applyBorder="1" applyAlignment="1">
      <alignment horizontal="center"/>
    </xf>
    <xf numFmtId="1" fontId="38" fillId="6" borderId="54" xfId="15" applyFont="1" applyFill="1" applyBorder="1" applyAlignment="1">
      <alignment horizontal="center"/>
    </xf>
    <xf numFmtId="1" fontId="35" fillId="0" borderId="0" xfId="0" applyFont="1" applyAlignment="1">
      <alignment horizontal="center"/>
    </xf>
    <xf numFmtId="1" fontId="36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18" fillId="0" borderId="12" xfId="0" applyFont="1" applyBorder="1" applyAlignment="1">
      <alignment horizontal="right" wrapText="1"/>
    </xf>
    <xf numFmtId="1" fontId="18" fillId="0" borderId="37" xfId="0" applyFont="1" applyBorder="1" applyAlignment="1">
      <alignment horizontal="center" vertical="center" wrapText="1"/>
    </xf>
    <xf numFmtId="1" fontId="18" fillId="0" borderId="25" xfId="0" applyFont="1" applyBorder="1" applyAlignment="1">
      <alignment horizontal="center" vertical="center" wrapText="1"/>
    </xf>
    <xf numFmtId="1" fontId="18" fillId="0" borderId="21" xfId="0" applyFont="1" applyBorder="1" applyAlignment="1">
      <alignment horizontal="center" vertical="center" wrapText="1"/>
    </xf>
    <xf numFmtId="1" fontId="18" fillId="0" borderId="13" xfId="0" applyFont="1" applyBorder="1" applyAlignment="1">
      <alignment horizontal="center" vertical="center" wrapText="1"/>
    </xf>
    <xf numFmtId="1" fontId="18" fillId="0" borderId="55" xfId="0" applyFont="1" applyBorder="1" applyAlignment="1">
      <alignment horizontal="center" vertical="center" wrapText="1"/>
    </xf>
    <xf numFmtId="1" fontId="18" fillId="0" borderId="14" xfId="0" applyFont="1" applyBorder="1" applyAlignment="1">
      <alignment horizontal="center" vertical="center" wrapText="1"/>
    </xf>
    <xf numFmtId="38" fontId="18" fillId="0" borderId="51" xfId="0" applyNumberFormat="1" applyFont="1" applyBorder="1" applyAlignment="1">
      <alignment horizontal="center"/>
    </xf>
    <xf numFmtId="1" fontId="19" fillId="0" borderId="51" xfId="0" applyFont="1" applyBorder="1" applyAlignment="1">
      <alignment horizontal="center"/>
    </xf>
    <xf numFmtId="1" fontId="19" fillId="0" borderId="20" xfId="0" applyFont="1" applyBorder="1" applyAlignment="1">
      <alignment horizontal="center"/>
    </xf>
    <xf numFmtId="1" fontId="19" fillId="0" borderId="52" xfId="0" applyFont="1" applyBorder="1" applyAlignment="1">
      <alignment horizontal="center"/>
    </xf>
    <xf numFmtId="1" fontId="22" fillId="0" borderId="51" xfId="0" applyFont="1" applyBorder="1" applyAlignment="1">
      <alignment horizontal="center"/>
    </xf>
    <xf numFmtId="1" fontId="22" fillId="0" borderId="20" xfId="0" applyFont="1" applyBorder="1" applyAlignment="1">
      <alignment horizontal="center"/>
    </xf>
    <xf numFmtId="1" fontId="22" fillId="0" borderId="52" xfId="0" applyFont="1" applyBorder="1" applyAlignment="1">
      <alignment horizontal="center"/>
    </xf>
    <xf numFmtId="1" fontId="22" fillId="0" borderId="50" xfId="0" applyFont="1" applyBorder="1" applyAlignment="1">
      <alignment horizontal="left"/>
    </xf>
    <xf numFmtId="8" fontId="22" fillId="0" borderId="12" xfId="0" applyNumberFormat="1" applyFont="1" applyBorder="1" applyAlignment="1">
      <alignment horizontal="right" wrapText="1"/>
    </xf>
    <xf numFmtId="1" fontId="22" fillId="0" borderId="12" xfId="0" applyFont="1" applyBorder="1" applyAlignment="1">
      <alignment horizontal="right" wrapText="1"/>
    </xf>
    <xf numFmtId="1" fontId="22" fillId="0" borderId="37" xfId="0" applyFont="1" applyBorder="1" applyAlignment="1">
      <alignment horizontal="center" vertical="center" wrapText="1"/>
    </xf>
    <xf numFmtId="1" fontId="22" fillId="0" borderId="25" xfId="0" applyFont="1" applyBorder="1" applyAlignment="1">
      <alignment horizontal="center" vertical="center" wrapText="1"/>
    </xf>
    <xf numFmtId="1" fontId="22" fillId="0" borderId="21" xfId="0" applyFont="1" applyBorder="1" applyAlignment="1">
      <alignment horizontal="center" vertical="center" wrapText="1"/>
    </xf>
    <xf numFmtId="1" fontId="22" fillId="0" borderId="39" xfId="0" applyFont="1" applyBorder="1" applyAlignment="1">
      <alignment horizontal="center" vertical="center" wrapText="1"/>
    </xf>
    <xf numFmtId="1" fontId="22" fillId="0" borderId="38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50" xfId="0" applyFont="1" applyBorder="1" applyAlignment="1">
      <alignment horizontal="center" vertical="center" wrapText="1"/>
    </xf>
    <xf numFmtId="1" fontId="22" fillId="0" borderId="27" xfId="0" applyFont="1" applyBorder="1" applyAlignment="1">
      <alignment horizontal="center" vertical="center" wrapText="1"/>
    </xf>
    <xf numFmtId="1" fontId="22" fillId="0" borderId="26" xfId="0" applyFont="1" applyBorder="1" applyAlignment="1">
      <alignment horizontal="center" vertical="center" wrapText="1"/>
    </xf>
    <xf numFmtId="38" fontId="22" fillId="0" borderId="51" xfId="0" applyNumberFormat="1" applyFont="1" applyBorder="1" applyAlignment="1">
      <alignment horizontal="center"/>
    </xf>
    <xf numFmtId="1" fontId="23" fillId="0" borderId="51" xfId="0" applyFont="1" applyBorder="1" applyAlignment="1">
      <alignment horizontal="center"/>
    </xf>
    <xf numFmtId="1" fontId="23" fillId="0" borderId="20" xfId="0" applyFont="1" applyBorder="1" applyAlignment="1">
      <alignment horizontal="center"/>
    </xf>
    <xf numFmtId="1" fontId="23" fillId="0" borderId="52" xfId="0" applyFont="1" applyBorder="1" applyAlignment="1">
      <alignment horizontal="center"/>
    </xf>
    <xf numFmtId="1" fontId="22" fillId="0" borderId="32" xfId="0" applyFont="1" applyBorder="1" applyAlignment="1">
      <alignment horizontal="center" vertical="center" wrapText="1"/>
    </xf>
    <xf numFmtId="1" fontId="22" fillId="0" borderId="39" xfId="0" applyFont="1" applyBorder="1" applyAlignment="1">
      <alignment horizontal="center" vertical="center"/>
    </xf>
    <xf numFmtId="1" fontId="22" fillId="0" borderId="32" xfId="0" applyFont="1" applyBorder="1" applyAlignment="1">
      <alignment horizontal="center" vertical="center"/>
    </xf>
    <xf numFmtId="1" fontId="22" fillId="0" borderId="55" xfId="0" applyFont="1" applyBorder="1" applyAlignment="1">
      <alignment horizontal="center"/>
    </xf>
    <xf numFmtId="1" fontId="22" fillId="0" borderId="13" xfId="0" applyFont="1" applyBorder="1" applyAlignment="1">
      <alignment horizontal="center"/>
    </xf>
    <xf numFmtId="1" fontId="22" fillId="0" borderId="25" xfId="0" applyFont="1" applyBorder="1" applyAlignment="1">
      <alignment horizontal="center" vertical="center"/>
    </xf>
    <xf numFmtId="1" fontId="22" fillId="0" borderId="21" xfId="0" applyFont="1" applyBorder="1" applyAlignment="1">
      <alignment horizontal="center" vertical="center"/>
    </xf>
    <xf numFmtId="1" fontId="2" fillId="0" borderId="20" xfId="0" applyFont="1" applyBorder="1" applyAlignment="1">
      <alignment horizontal="center"/>
    </xf>
    <xf numFmtId="1" fontId="2" fillId="0" borderId="52" xfId="0" applyFont="1" applyBorder="1" applyAlignment="1">
      <alignment horizontal="center"/>
    </xf>
    <xf numFmtId="1" fontId="2" fillId="0" borderId="55" xfId="0" applyFont="1" applyBorder="1" applyAlignment="1">
      <alignment wrapText="1"/>
    </xf>
    <xf numFmtId="1" fontId="23" fillId="0" borderId="55" xfId="0" applyFont="1" applyBorder="1" applyAlignment="1">
      <alignment horizontal="center" wrapText="1"/>
    </xf>
    <xf numFmtId="1" fontId="24" fillId="0" borderId="50" xfId="0" applyFont="1" applyBorder="1" applyAlignment="1">
      <alignment horizontal="left"/>
    </xf>
    <xf numFmtId="1" fontId="24" fillId="0" borderId="37" xfId="0" applyFont="1" applyBorder="1" applyAlignment="1">
      <alignment horizontal="center" vertical="center" wrapText="1"/>
    </xf>
    <xf numFmtId="1" fontId="24" fillId="0" borderId="21" xfId="0" applyFont="1" applyBorder="1" applyAlignment="1">
      <alignment horizontal="center" vertical="center" wrapText="1"/>
    </xf>
    <xf numFmtId="1" fontId="24" fillId="0" borderId="39" xfId="0" applyFont="1" applyBorder="1" applyAlignment="1">
      <alignment horizontal="center" vertical="center" wrapText="1"/>
    </xf>
    <xf numFmtId="1" fontId="24" fillId="0" borderId="32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27" xfId="0" applyFont="1" applyBorder="1" applyAlignment="1">
      <alignment horizontal="center" vertical="center" wrapText="1"/>
    </xf>
    <xf numFmtId="1" fontId="24" fillId="0" borderId="51" xfId="0" applyFont="1" applyBorder="1" applyAlignment="1">
      <alignment horizontal="center"/>
    </xf>
    <xf numFmtId="1" fontId="24" fillId="0" borderId="20" xfId="0" applyFont="1" applyBorder="1" applyAlignment="1">
      <alignment horizontal="center"/>
    </xf>
    <xf numFmtId="1" fontId="24" fillId="0" borderId="52" xfId="0" applyFont="1" applyBorder="1" applyAlignment="1">
      <alignment horizontal="center"/>
    </xf>
    <xf numFmtId="1" fontId="30" fillId="0" borderId="51" xfId="15" applyBorder="1" applyAlignment="1">
      <alignment horizontal="left"/>
    </xf>
    <xf numFmtId="1" fontId="30" fillId="0" borderId="20" xfId="15" applyBorder="1" applyAlignment="1">
      <alignment horizontal="left"/>
    </xf>
    <xf numFmtId="1" fontId="30" fillId="0" borderId="52" xfId="15" applyBorder="1" applyAlignment="1">
      <alignment horizontal="left"/>
    </xf>
    <xf numFmtId="1" fontId="24" fillId="0" borderId="55" xfId="0" applyFont="1" applyBorder="1" applyAlignment="1">
      <alignment vertical="top" wrapText="1"/>
    </xf>
    <xf numFmtId="1" fontId="24" fillId="0" borderId="37" xfId="0" applyFont="1" applyBorder="1" applyAlignment="1">
      <alignment horizontal="left" vertical="top" wrapText="1"/>
    </xf>
    <xf numFmtId="1" fontId="24" fillId="0" borderId="21" xfId="0" applyFont="1" applyBorder="1" applyAlignment="1">
      <alignment horizontal="left" vertical="top" wrapText="1"/>
    </xf>
    <xf numFmtId="38" fontId="24" fillId="0" borderId="51" xfId="0" applyNumberFormat="1" applyFont="1" applyBorder="1" applyAlignment="1">
      <alignment horizontal="center"/>
    </xf>
    <xf numFmtId="1" fontId="10" fillId="0" borderId="51" xfId="0" applyFont="1" applyBorder="1" applyAlignment="1">
      <alignment horizontal="center"/>
    </xf>
    <xf numFmtId="1" fontId="10" fillId="0" borderId="20" xfId="0" applyFont="1" applyBorder="1" applyAlignment="1">
      <alignment horizontal="center"/>
    </xf>
    <xf numFmtId="1" fontId="10" fillId="0" borderId="52" xfId="0" applyFont="1" applyBorder="1" applyAlignment="1">
      <alignment horizontal="center"/>
    </xf>
    <xf numFmtId="1" fontId="0" fillId="0" borderId="20" xfId="0" applyBorder="1" applyAlignment="1">
      <alignment horizontal="center"/>
    </xf>
    <xf numFmtId="1" fontId="18" fillId="0" borderId="39" xfId="0" applyFont="1" applyBorder="1" applyAlignment="1">
      <alignment horizontal="center" vertical="center" wrapText="1"/>
    </xf>
    <xf numFmtId="1" fontId="18" fillId="0" borderId="32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27" xfId="0" applyFont="1" applyBorder="1" applyAlignment="1">
      <alignment horizontal="center" vertical="center" wrapText="1"/>
    </xf>
    <xf numFmtId="1" fontId="19" fillId="0" borderId="55" xfId="0" applyFont="1" applyBorder="1" applyAlignment="1">
      <alignment horizontal="left" vertical="top" wrapText="1"/>
    </xf>
    <xf numFmtId="1" fontId="19" fillId="0" borderId="1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56" xfId="0" applyBorder="1" applyAlignment="1">
      <alignment horizontal="center"/>
    </xf>
    <xf numFmtId="38" fontId="18" fillId="0" borderId="20" xfId="0" applyNumberFormat="1" applyFont="1" applyBorder="1" applyAlignment="1">
      <alignment horizontal="center"/>
    </xf>
    <xf numFmtId="1" fontId="18" fillId="0" borderId="0" xfId="0" applyFont="1" applyBorder="1" applyAlignment="1">
      <alignment horizontal="left" vertical="top" wrapText="1"/>
    </xf>
    <xf numFmtId="1" fontId="18" fillId="0" borderId="25" xfId="0" applyFont="1" applyBorder="1" applyAlignment="1">
      <alignment horizontal="left" vertical="top" wrapText="1"/>
    </xf>
    <xf numFmtId="1" fontId="19" fillId="0" borderId="0" xfId="0" applyFont="1" applyBorder="1" applyAlignment="1">
      <alignment horizontal="left" vertical="top" wrapText="1"/>
    </xf>
    <xf numFmtId="1" fontId="19" fillId="0" borderId="25" xfId="0" applyFont="1" applyBorder="1" applyAlignment="1">
      <alignment horizontal="left" vertical="top" wrapText="1"/>
    </xf>
    <xf numFmtId="1" fontId="19" fillId="0" borderId="55" xfId="0" applyFont="1" applyBorder="1" applyAlignment="1">
      <alignment horizontal="center" vertical="center" wrapText="1"/>
    </xf>
    <xf numFmtId="1" fontId="19" fillId="0" borderId="14" xfId="0" applyFont="1" applyBorder="1" applyAlignment="1">
      <alignment horizontal="center" vertical="center" wrapText="1"/>
    </xf>
    <xf numFmtId="1" fontId="18" fillId="0" borderId="57" xfId="0" applyFont="1" applyBorder="1" applyAlignment="1">
      <alignment horizontal="left" vertical="top" wrapText="1"/>
    </xf>
    <xf numFmtId="1" fontId="18" fillId="0" borderId="58" xfId="0" applyFont="1" applyBorder="1" applyAlignment="1">
      <alignment horizontal="left" vertical="top" wrapText="1"/>
    </xf>
    <xf numFmtId="1" fontId="20" fillId="0" borderId="29" xfId="0" applyFont="1" applyBorder="1" applyAlignment="1">
      <alignment vertical="top" wrapText="1"/>
    </xf>
    <xf numFmtId="1" fontId="18" fillId="0" borderId="50" xfId="0" applyFont="1" applyBorder="1" applyAlignment="1">
      <alignment horizontal="center" vertical="center" wrapText="1"/>
    </xf>
    <xf numFmtId="1" fontId="18" fillId="0" borderId="26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41" fontId="20" fillId="0" borderId="35" xfId="0" applyNumberFormat="1" applyFont="1" applyBorder="1" applyAlignment="1">
      <alignment wrapText="1"/>
    </xf>
    <xf numFmtId="41" fontId="20" fillId="0" borderId="36" xfId="0" applyNumberFormat="1" applyFont="1" applyBorder="1" applyAlignment="1">
      <alignment wrapText="1"/>
    </xf>
    <xf numFmtId="1" fontId="18" fillId="0" borderId="55" xfId="0" applyFont="1" applyBorder="1" applyAlignment="1">
      <alignment wrapText="1"/>
    </xf>
    <xf numFmtId="1" fontId="18" fillId="0" borderId="14" xfId="0" applyFont="1" applyBorder="1" applyAlignment="1">
      <alignment wrapText="1"/>
    </xf>
    <xf numFmtId="1" fontId="30" fillId="0" borderId="0" xfId="15" applyAlignment="1">
      <alignment/>
    </xf>
    <xf numFmtId="1" fontId="18" fillId="0" borderId="26" xfId="0" applyFont="1" applyBorder="1" applyAlignment="1">
      <alignment horizontal="justify" wrapText="1"/>
    </xf>
    <xf numFmtId="8" fontId="18" fillId="0" borderId="26" xfId="0" applyNumberFormat="1" applyFont="1" applyBorder="1" applyAlignment="1">
      <alignment horizontal="right" wrapText="1"/>
    </xf>
    <xf numFmtId="1" fontId="18" fillId="0" borderId="26" xfId="0" applyFont="1" applyBorder="1" applyAlignment="1">
      <alignment horizontal="right" wrapText="1"/>
    </xf>
    <xf numFmtId="1" fontId="18" fillId="0" borderId="55" xfId="0" applyFont="1" applyBorder="1" applyAlignment="1">
      <alignment horizontal="center" wrapText="1"/>
    </xf>
    <xf numFmtId="1" fontId="18" fillId="0" borderId="14" xfId="0" applyFont="1" applyBorder="1" applyAlignment="1">
      <alignment horizontal="center" wrapText="1"/>
    </xf>
    <xf numFmtId="1" fontId="18" fillId="0" borderId="13" xfId="0" applyFont="1" applyBorder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AutoShape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AutoShape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1"/>
  <dimension ref="A1:J39"/>
  <sheetViews>
    <sheetView view="pageBreakPreview" zoomScale="95" zoomScaleSheetLayoutView="95" workbookViewId="0" topLeftCell="A13">
      <selection activeCell="E21" sqref="E21:F21"/>
    </sheetView>
  </sheetViews>
  <sheetFormatPr defaultColWidth="9.140625" defaultRowHeight="12.75"/>
  <cols>
    <col min="1" max="1" width="16.28125" style="320" customWidth="1"/>
    <col min="2" max="16384" width="9.140625" style="320" customWidth="1"/>
  </cols>
  <sheetData>
    <row r="1" spans="1:10" ht="25.5">
      <c r="A1" s="345" t="s">
        <v>324</v>
      </c>
      <c r="B1" s="345"/>
      <c r="C1" s="345"/>
      <c r="D1" s="345"/>
      <c r="E1" s="345"/>
      <c r="F1" s="345"/>
      <c r="G1" s="345"/>
      <c r="H1" s="345"/>
      <c r="I1" s="345"/>
      <c r="J1" s="345"/>
    </row>
    <row r="3" spans="1:10" ht="20.25">
      <c r="A3" s="346" t="s">
        <v>326</v>
      </c>
      <c r="B3" s="346"/>
      <c r="C3" s="346"/>
      <c r="D3" s="346"/>
      <c r="E3" s="346"/>
      <c r="F3" s="346"/>
      <c r="G3" s="346"/>
      <c r="H3" s="346"/>
      <c r="I3" s="346"/>
      <c r="J3" s="346"/>
    </row>
    <row r="7" spans="1:10" ht="20.25">
      <c r="A7" s="346" t="s">
        <v>305</v>
      </c>
      <c r="B7" s="346"/>
      <c r="C7" s="346"/>
      <c r="D7" s="346"/>
      <c r="E7" s="346"/>
      <c r="F7" s="346"/>
      <c r="G7" s="346"/>
      <c r="H7" s="346"/>
      <c r="I7" s="346"/>
      <c r="J7" s="346"/>
    </row>
    <row r="11" spans="1:10" ht="23.25">
      <c r="A11" s="349" t="s">
        <v>306</v>
      </c>
      <c r="B11" s="349"/>
      <c r="C11" s="349"/>
      <c r="D11" s="349"/>
      <c r="E11" s="349"/>
      <c r="F11" s="349"/>
      <c r="G11" s="349"/>
      <c r="H11" s="349"/>
      <c r="I11" s="349"/>
      <c r="J11" s="349"/>
    </row>
    <row r="14" spans="1:10" ht="27.75">
      <c r="A14" s="350" t="s">
        <v>307</v>
      </c>
      <c r="B14" s="350"/>
      <c r="C14" s="350"/>
      <c r="D14" s="350"/>
      <c r="E14" s="350"/>
      <c r="F14" s="350"/>
      <c r="G14" s="350"/>
      <c r="H14" s="350"/>
      <c r="I14" s="350"/>
      <c r="J14" s="350"/>
    </row>
    <row r="17" spans="1:10" ht="15">
      <c r="A17" s="342" t="s">
        <v>327</v>
      </c>
      <c r="B17" s="342"/>
      <c r="C17" s="342"/>
      <c r="D17" s="342"/>
      <c r="E17" s="342"/>
      <c r="F17" s="342"/>
      <c r="G17" s="342"/>
      <c r="H17" s="342"/>
      <c r="I17" s="342"/>
      <c r="J17" s="342"/>
    </row>
    <row r="18" ht="15.75" thickBot="1"/>
    <row r="19" spans="2:9" ht="15.75" thickBot="1">
      <c r="B19" s="347" t="s">
        <v>310</v>
      </c>
      <c r="C19" s="348"/>
      <c r="E19" s="343" t="s">
        <v>311</v>
      </c>
      <c r="F19" s="344"/>
      <c r="H19" s="343" t="s">
        <v>312</v>
      </c>
      <c r="I19" s="344"/>
    </row>
    <row r="20" ht="15.75" thickBot="1"/>
    <row r="21" spans="2:9" ht="15.75" thickBot="1">
      <c r="B21" s="343" t="s">
        <v>313</v>
      </c>
      <c r="C21" s="344"/>
      <c r="E21" s="343" t="s">
        <v>314</v>
      </c>
      <c r="F21" s="344"/>
      <c r="H21" s="343" t="s">
        <v>315</v>
      </c>
      <c r="I21" s="344"/>
    </row>
    <row r="22" ht="15.75" thickBot="1"/>
    <row r="23" spans="2:9" ht="15.75" thickBot="1">
      <c r="B23" s="338" t="s">
        <v>316</v>
      </c>
      <c r="C23" s="339"/>
      <c r="E23" s="343" t="s">
        <v>317</v>
      </c>
      <c r="F23" s="344"/>
      <c r="H23" s="343" t="s">
        <v>318</v>
      </c>
      <c r="I23" s="344"/>
    </row>
    <row r="24" spans="2:9" ht="15.75" thickBot="1">
      <c r="B24" s="324"/>
      <c r="C24" s="324"/>
      <c r="E24" s="324"/>
      <c r="F24" s="324"/>
      <c r="H24" s="324"/>
      <c r="I24" s="324"/>
    </row>
    <row r="25" spans="2:9" ht="15.75" thickBot="1">
      <c r="B25" s="343" t="s">
        <v>319</v>
      </c>
      <c r="C25" s="344"/>
      <c r="E25" s="343" t="s">
        <v>320</v>
      </c>
      <c r="F25" s="344"/>
      <c r="H25" s="343" t="s">
        <v>321</v>
      </c>
      <c r="I25" s="344"/>
    </row>
    <row r="27" spans="1:10" ht="15">
      <c r="A27" s="342" t="s">
        <v>308</v>
      </c>
      <c r="B27" s="342"/>
      <c r="C27" s="342"/>
      <c r="D27" s="342"/>
      <c r="E27" s="342"/>
      <c r="F27" s="342"/>
      <c r="G27" s="342"/>
      <c r="H27" s="342"/>
      <c r="I27" s="342"/>
      <c r="J27" s="342"/>
    </row>
    <row r="32" ht="15">
      <c r="E32" s="320">
        <v>2012</v>
      </c>
    </row>
    <row r="33" spans="1:10" ht="15">
      <c r="A33" s="351"/>
      <c r="B33" s="351"/>
      <c r="C33" s="351"/>
      <c r="D33" s="351"/>
      <c r="E33" s="351"/>
      <c r="F33" s="351"/>
      <c r="G33" s="351"/>
      <c r="H33" s="351"/>
      <c r="I33" s="351"/>
      <c r="J33" s="351"/>
    </row>
    <row r="39" spans="1:10" ht="15">
      <c r="A39" s="342" t="s">
        <v>328</v>
      </c>
      <c r="B39" s="342"/>
      <c r="C39" s="342"/>
      <c r="D39" s="342"/>
      <c r="E39" s="342"/>
      <c r="F39" s="342"/>
      <c r="G39" s="342"/>
      <c r="H39" s="342"/>
      <c r="I39" s="342"/>
      <c r="J39" s="342"/>
    </row>
  </sheetData>
  <mergeCells count="21">
    <mergeCell ref="A39:J39"/>
    <mergeCell ref="A27:J27"/>
    <mergeCell ref="A33:J33"/>
    <mergeCell ref="B21:C21"/>
    <mergeCell ref="E21:F21"/>
    <mergeCell ref="H21:I21"/>
    <mergeCell ref="B23:C23"/>
    <mergeCell ref="E23:F23"/>
    <mergeCell ref="A1:J1"/>
    <mergeCell ref="A3:J3"/>
    <mergeCell ref="A7:J7"/>
    <mergeCell ref="B19:C19"/>
    <mergeCell ref="H19:I19"/>
    <mergeCell ref="E19:F19"/>
    <mergeCell ref="A11:J11"/>
    <mergeCell ref="A14:J14"/>
    <mergeCell ref="A17:J17"/>
    <mergeCell ref="H23:I23"/>
    <mergeCell ref="E25:F25"/>
    <mergeCell ref="H25:I25"/>
    <mergeCell ref="B25:C25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5"/>
  <dimension ref="A1:D28"/>
  <sheetViews>
    <sheetView tabSelected="1" workbookViewId="0" topLeftCell="A9">
      <selection activeCell="A28" sqref="A28:D28"/>
    </sheetView>
  </sheetViews>
  <sheetFormatPr defaultColWidth="9.140625" defaultRowHeight="12.75"/>
  <cols>
    <col min="1" max="1" width="58.421875" style="127" customWidth="1"/>
    <col min="2" max="2" width="17.421875" style="127" customWidth="1"/>
    <col min="3" max="3" width="19.421875" style="127" customWidth="1"/>
    <col min="4" max="4" width="19.7109375" style="127" customWidth="1"/>
    <col min="5" max="16384" width="9.140625" style="127" customWidth="1"/>
  </cols>
  <sheetData>
    <row r="1" spans="1:4" ht="14.25">
      <c r="A1" s="409" t="str">
        <f>DADOS!A3</f>
        <v>MUNICIPIO DE QUILOMBO</v>
      </c>
      <c r="B1" s="401"/>
      <c r="C1" s="401"/>
      <c r="D1" s="402"/>
    </row>
    <row r="2" spans="1:4" ht="14.25">
      <c r="A2" s="400" t="s">
        <v>48</v>
      </c>
      <c r="B2" s="401"/>
      <c r="C2" s="401"/>
      <c r="D2" s="402"/>
    </row>
    <row r="3" spans="1:4" ht="14.25">
      <c r="A3" s="400" t="s">
        <v>229</v>
      </c>
      <c r="B3" s="401"/>
      <c r="C3" s="401"/>
      <c r="D3" s="402"/>
    </row>
    <row r="4" spans="1:4" ht="14.25">
      <c r="A4" s="410" t="s">
        <v>239</v>
      </c>
      <c r="B4" s="411"/>
      <c r="C4" s="411"/>
      <c r="D4" s="412"/>
    </row>
    <row r="5" spans="1:4" ht="14.25">
      <c r="A5" s="400" t="str">
        <f>DADOS!A17</f>
        <v>Exercício de 2012</v>
      </c>
      <c r="B5" s="401"/>
      <c r="C5" s="401"/>
      <c r="D5" s="402"/>
    </row>
    <row r="6" spans="1:4" ht="14.25">
      <c r="A6" s="403" t="s">
        <v>323</v>
      </c>
      <c r="B6" s="404"/>
      <c r="C6" s="404"/>
      <c r="D6" s="405"/>
    </row>
    <row r="7" spans="1:4" ht="14.25">
      <c r="A7" s="128" t="s">
        <v>138</v>
      </c>
      <c r="B7" s="128"/>
      <c r="C7" s="128"/>
      <c r="D7" s="129">
        <v>1</v>
      </c>
    </row>
    <row r="8" spans="1:4" s="132" customFormat="1" ht="25.5" customHeight="1">
      <c r="A8" s="130" t="s">
        <v>144</v>
      </c>
      <c r="B8" s="130">
        <f>DADOS!E32-2</f>
        <v>2010</v>
      </c>
      <c r="C8" s="130">
        <f>B8-1</f>
        <v>2009</v>
      </c>
      <c r="D8" s="131">
        <f>C8-1</f>
        <v>2008</v>
      </c>
    </row>
    <row r="9" spans="1:4" ht="12.75" customHeight="1">
      <c r="A9" s="133" t="s">
        <v>75</v>
      </c>
      <c r="B9" s="134">
        <v>0</v>
      </c>
      <c r="C9" s="134">
        <v>0</v>
      </c>
      <c r="D9" s="134">
        <v>0</v>
      </c>
    </row>
    <row r="10" spans="1:4" ht="12.75" customHeight="1">
      <c r="A10" s="133" t="s">
        <v>145</v>
      </c>
      <c r="B10" s="134">
        <v>0</v>
      </c>
      <c r="C10" s="134">
        <v>0</v>
      </c>
      <c r="D10" s="134">
        <v>0</v>
      </c>
    </row>
    <row r="11" spans="1:4" ht="12.75" customHeight="1">
      <c r="A11" s="133" t="s">
        <v>146</v>
      </c>
      <c r="B11" s="229">
        <f>Plano!E16</f>
        <v>0</v>
      </c>
      <c r="C11" s="229">
        <f>Plano!D16</f>
        <v>0</v>
      </c>
      <c r="D11" s="134">
        <f>Plano!C16</f>
        <v>0</v>
      </c>
    </row>
    <row r="12" spans="1:4" ht="12.75" customHeight="1">
      <c r="A12" s="135" t="s">
        <v>147</v>
      </c>
      <c r="B12" s="230">
        <v>0</v>
      </c>
      <c r="C12" s="230">
        <v>0</v>
      </c>
      <c r="D12" s="136">
        <v>0</v>
      </c>
    </row>
    <row r="13" spans="1:4" ht="14.25">
      <c r="A13" s="135" t="s">
        <v>148</v>
      </c>
      <c r="B13" s="148">
        <f>B11+B12</f>
        <v>0</v>
      </c>
      <c r="C13" s="148">
        <f>C11+C12</f>
        <v>0</v>
      </c>
      <c r="D13" s="148">
        <f>D11+D12</f>
        <v>0</v>
      </c>
    </row>
    <row r="14" spans="1:4" ht="14.25">
      <c r="A14" s="406"/>
      <c r="B14" s="406"/>
      <c r="C14" s="406"/>
      <c r="D14" s="406"/>
    </row>
    <row r="15" spans="1:4" s="132" customFormat="1" ht="14.25">
      <c r="A15" s="394" t="s">
        <v>228</v>
      </c>
      <c r="B15" s="396">
        <f>B8</f>
        <v>2010</v>
      </c>
      <c r="C15" s="396">
        <f>C8</f>
        <v>2009</v>
      </c>
      <c r="D15" s="398">
        <f>D8</f>
        <v>2008</v>
      </c>
    </row>
    <row r="16" spans="1:4" s="132" customFormat="1" ht="14.25">
      <c r="A16" s="395"/>
      <c r="B16" s="397"/>
      <c r="C16" s="397"/>
      <c r="D16" s="399"/>
    </row>
    <row r="17" spans="1:4" ht="28.5">
      <c r="A17" s="133" t="s">
        <v>149</v>
      </c>
      <c r="B17" s="133">
        <v>0</v>
      </c>
      <c r="C17" s="133">
        <v>0</v>
      </c>
      <c r="D17" s="137">
        <v>0</v>
      </c>
    </row>
    <row r="18" spans="1:4" ht="14.25">
      <c r="A18" s="133" t="s">
        <v>150</v>
      </c>
      <c r="B18" s="322">
        <f>B19+B20+B21</f>
        <v>0</v>
      </c>
      <c r="C18" s="322">
        <f>C19+C20+C21</f>
        <v>0</v>
      </c>
      <c r="D18" s="322">
        <f>D19+D20+D21</f>
        <v>0</v>
      </c>
    </row>
    <row r="19" spans="1:4" ht="14.25">
      <c r="A19" s="133" t="s">
        <v>151</v>
      </c>
      <c r="B19" s="134">
        <f>B11</f>
        <v>0</v>
      </c>
      <c r="C19" s="134">
        <f>C11</f>
        <v>0</v>
      </c>
      <c r="D19" s="134">
        <f>D11</f>
        <v>0</v>
      </c>
    </row>
    <row r="20" spans="1:4" ht="14.25">
      <c r="A20" s="133" t="s">
        <v>152</v>
      </c>
      <c r="B20" s="133">
        <v>0</v>
      </c>
      <c r="C20" s="133">
        <v>0</v>
      </c>
      <c r="D20" s="137">
        <v>0</v>
      </c>
    </row>
    <row r="21" spans="1:4" ht="14.25">
      <c r="A21" s="133" t="s">
        <v>153</v>
      </c>
      <c r="B21" s="133">
        <v>0</v>
      </c>
      <c r="C21" s="133">
        <v>0</v>
      </c>
      <c r="D21" s="137">
        <v>0</v>
      </c>
    </row>
    <row r="22" spans="1:4" ht="14.25">
      <c r="A22" s="133" t="s">
        <v>154</v>
      </c>
      <c r="B22" s="261">
        <f>B23+B24</f>
        <v>0</v>
      </c>
      <c r="C22" s="261">
        <f>C23+C24</f>
        <v>0</v>
      </c>
      <c r="D22" s="261">
        <f>D23+D24</f>
        <v>0</v>
      </c>
    </row>
    <row r="23" spans="1:4" ht="14.25">
      <c r="A23" s="133" t="s">
        <v>155</v>
      </c>
      <c r="B23" s="133">
        <v>0</v>
      </c>
      <c r="C23" s="133">
        <v>0</v>
      </c>
      <c r="D23" s="137">
        <v>0</v>
      </c>
    </row>
    <row r="24" spans="1:4" ht="14.25">
      <c r="A24" s="135" t="s">
        <v>156</v>
      </c>
      <c r="B24" s="135">
        <v>0</v>
      </c>
      <c r="C24" s="135">
        <v>0</v>
      </c>
      <c r="D24" s="138">
        <v>0</v>
      </c>
    </row>
    <row r="25" spans="1:4" ht="14.25">
      <c r="A25" s="135" t="s">
        <v>148</v>
      </c>
      <c r="B25" s="323">
        <f>B18+B22</f>
        <v>0</v>
      </c>
      <c r="C25" s="323">
        <f>C18+C22</f>
        <v>0</v>
      </c>
      <c r="D25" s="323">
        <f>D18+D22</f>
        <v>0</v>
      </c>
    </row>
    <row r="26" spans="1:4" ht="14.25">
      <c r="A26" s="407" t="s">
        <v>157</v>
      </c>
      <c r="B26" s="135">
        <v>0</v>
      </c>
      <c r="C26" s="135">
        <v>0</v>
      </c>
      <c r="D26" s="138">
        <v>0</v>
      </c>
    </row>
    <row r="27" spans="1:4" ht="14.25">
      <c r="A27" s="408"/>
      <c r="B27" s="148">
        <f>C27+B13-B25</f>
        <v>0</v>
      </c>
      <c r="C27" s="148">
        <f>D27+C13-C25</f>
        <v>0</v>
      </c>
      <c r="D27" s="262">
        <f>D13-D25</f>
        <v>0</v>
      </c>
    </row>
    <row r="28" spans="1:4" ht="14.25">
      <c r="A28" s="393"/>
      <c r="B28" s="393"/>
      <c r="C28" s="393"/>
      <c r="D28" s="393"/>
    </row>
  </sheetData>
  <sheetProtection/>
  <mergeCells count="13">
    <mergeCell ref="A1:D1"/>
    <mergeCell ref="A2:D2"/>
    <mergeCell ref="A3:D3"/>
    <mergeCell ref="A4:D4"/>
    <mergeCell ref="A5:D5"/>
    <mergeCell ref="A6:D6"/>
    <mergeCell ref="A14:D14"/>
    <mergeCell ref="A26:A27"/>
    <mergeCell ref="A28:D28"/>
    <mergeCell ref="A15:A16"/>
    <mergeCell ref="B15:B16"/>
    <mergeCell ref="C15:C16"/>
    <mergeCell ref="D15:D16"/>
  </mergeCells>
  <hyperlinks>
    <hyperlink ref="A6:D6" location="DADOS!A1" display="voltar"/>
  </hyperlinks>
  <printOptions/>
  <pageMargins left="0.75" right="0.75" top="1" bottom="1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A1:H57"/>
  <sheetViews>
    <sheetView workbookViewId="0" topLeftCell="A34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59" t="str">
        <f>DADOS!A3</f>
        <v>MUNICIPIO DE QUILOMBO</v>
      </c>
      <c r="B1" s="336"/>
      <c r="C1" s="336"/>
      <c r="D1" s="336"/>
      <c r="E1" s="336"/>
      <c r="F1" s="336"/>
    </row>
    <row r="2" spans="1:6" ht="12.75">
      <c r="A2" s="335" t="s">
        <v>48</v>
      </c>
      <c r="B2" s="336"/>
      <c r="C2" s="336"/>
      <c r="D2" s="336"/>
      <c r="E2" s="336"/>
      <c r="F2" s="336"/>
    </row>
    <row r="3" spans="1:6" ht="12.75">
      <c r="A3" s="335" t="s">
        <v>233</v>
      </c>
      <c r="B3" s="336"/>
      <c r="C3" s="336"/>
      <c r="D3" s="336"/>
      <c r="E3" s="336"/>
      <c r="F3" s="336"/>
    </row>
    <row r="4" spans="1:6" ht="12.75">
      <c r="A4" s="360" t="s">
        <v>241</v>
      </c>
      <c r="B4" s="361"/>
      <c r="C4" s="361"/>
      <c r="D4" s="361"/>
      <c r="E4" s="361"/>
      <c r="F4" s="361"/>
    </row>
    <row r="5" spans="1:6" ht="12.75">
      <c r="A5" s="335" t="str">
        <f>DADOS!A17</f>
        <v>Exercício de 2012</v>
      </c>
      <c r="B5" s="336"/>
      <c r="C5" s="336"/>
      <c r="D5" s="336"/>
      <c r="E5" s="336"/>
      <c r="F5" s="336"/>
    </row>
    <row r="6" spans="1:6" ht="12.75">
      <c r="A6" s="404" t="s">
        <v>323</v>
      </c>
      <c r="B6" s="404"/>
      <c r="C6" s="404"/>
      <c r="D6" s="404"/>
      <c r="E6" s="404"/>
      <c r="F6" s="405"/>
    </row>
    <row r="7" spans="1:6" ht="15.75">
      <c r="A7" s="429" t="s">
        <v>158</v>
      </c>
      <c r="B7" s="429"/>
      <c r="C7" s="430"/>
      <c r="D7" s="86"/>
      <c r="E7" s="86"/>
      <c r="F7" s="104">
        <v>1</v>
      </c>
    </row>
    <row r="8" spans="1:6" s="151" customFormat="1" ht="25.5" customHeight="1">
      <c r="A8" s="427" t="s">
        <v>159</v>
      </c>
      <c r="B8" s="427"/>
      <c r="C8" s="428"/>
      <c r="D8" s="152">
        <f>DADOS!E32-4</f>
        <v>2008</v>
      </c>
      <c r="E8" s="152">
        <f>D8+1</f>
        <v>2009</v>
      </c>
      <c r="F8" s="152">
        <f>E8+1</f>
        <v>2010</v>
      </c>
    </row>
    <row r="9" spans="1:6" ht="15.75">
      <c r="A9" s="425" t="s">
        <v>2</v>
      </c>
      <c r="B9" s="425"/>
      <c r="C9" s="425"/>
      <c r="D9" s="263">
        <f>D10+D15+D16</f>
        <v>0</v>
      </c>
      <c r="E9" s="263">
        <f>E10+E15+E16</f>
        <v>0</v>
      </c>
      <c r="F9" s="263">
        <f>F10+F15+F16</f>
        <v>0</v>
      </c>
    </row>
    <row r="10" spans="1:6" ht="15.75">
      <c r="A10" s="423" t="s">
        <v>160</v>
      </c>
      <c r="B10" s="423"/>
      <c r="C10" s="423"/>
      <c r="D10" s="264">
        <f>D11+D12+D13+D14</f>
        <v>0</v>
      </c>
      <c r="E10" s="264">
        <f>E11+E12+E13+E14</f>
        <v>0</v>
      </c>
      <c r="F10" s="264">
        <f>F11+F12+F13+F14</f>
        <v>0</v>
      </c>
    </row>
    <row r="11" spans="1:6" ht="15.75">
      <c r="A11" s="423" t="s">
        <v>161</v>
      </c>
      <c r="B11" s="423"/>
      <c r="C11" s="423"/>
      <c r="D11" s="157"/>
      <c r="E11" s="157"/>
      <c r="F11" s="157"/>
    </row>
    <row r="12" spans="1:6" ht="15.75">
      <c r="A12" s="423" t="s">
        <v>162</v>
      </c>
      <c r="B12" s="423"/>
      <c r="C12" s="423"/>
      <c r="D12" s="157"/>
      <c r="E12" s="157"/>
      <c r="F12" s="157"/>
    </row>
    <row r="13" spans="1:6" ht="15.75">
      <c r="A13" s="423" t="s">
        <v>163</v>
      </c>
      <c r="B13" s="423"/>
      <c r="C13" s="423"/>
      <c r="D13" s="157">
        <v>0</v>
      </c>
      <c r="E13" s="157">
        <v>0</v>
      </c>
      <c r="F13" s="157">
        <v>0</v>
      </c>
    </row>
    <row r="14" spans="1:6" ht="15.75">
      <c r="A14" s="423" t="s">
        <v>164</v>
      </c>
      <c r="B14" s="423"/>
      <c r="C14" s="423"/>
      <c r="D14" s="157"/>
      <c r="E14" s="157"/>
      <c r="F14" s="157"/>
    </row>
    <row r="15" spans="1:6" ht="15.75">
      <c r="A15" s="423" t="s">
        <v>165</v>
      </c>
      <c r="B15" s="423"/>
      <c r="C15" s="423"/>
      <c r="D15" s="157"/>
      <c r="E15" s="157"/>
      <c r="F15" s="157"/>
    </row>
    <row r="16" spans="1:6" ht="15.75">
      <c r="A16" s="423" t="s">
        <v>166</v>
      </c>
      <c r="B16" s="423"/>
      <c r="C16" s="423"/>
      <c r="D16" s="157"/>
      <c r="E16" s="157"/>
      <c r="F16" s="157"/>
    </row>
    <row r="17" spans="1:6" ht="15.75">
      <c r="A17" s="425" t="s">
        <v>75</v>
      </c>
      <c r="B17" s="425"/>
      <c r="C17" s="425"/>
      <c r="D17" s="263">
        <f>D18+D19</f>
        <v>0</v>
      </c>
      <c r="E17" s="263">
        <f>E18+E19</f>
        <v>0</v>
      </c>
      <c r="F17" s="263">
        <f>F18+F19</f>
        <v>0</v>
      </c>
    </row>
    <row r="18" spans="1:6" ht="15.75">
      <c r="A18" s="423" t="s">
        <v>167</v>
      </c>
      <c r="B18" s="423"/>
      <c r="C18" s="423"/>
      <c r="D18" s="157"/>
      <c r="E18" s="157"/>
      <c r="F18" s="157"/>
    </row>
    <row r="19" spans="1:6" ht="15.75">
      <c r="A19" s="423" t="s">
        <v>168</v>
      </c>
      <c r="B19" s="423"/>
      <c r="C19" s="423"/>
      <c r="D19" s="157"/>
      <c r="E19" s="157"/>
      <c r="F19" s="157"/>
    </row>
    <row r="20" spans="1:6" s="149" customFormat="1" ht="15.75">
      <c r="A20" s="425" t="s">
        <v>169</v>
      </c>
      <c r="B20" s="425"/>
      <c r="C20" s="425"/>
      <c r="D20" s="263">
        <f>D21+D24+D27+D28</f>
        <v>0</v>
      </c>
      <c r="E20" s="263">
        <f>E21+E24+E27+E28</f>
        <v>0</v>
      </c>
      <c r="F20" s="263">
        <f>F21+F24+F27+F28</f>
        <v>0</v>
      </c>
    </row>
    <row r="21" spans="1:6" ht="15.75">
      <c r="A21" s="423" t="s">
        <v>170</v>
      </c>
      <c r="B21" s="423"/>
      <c r="C21" s="423"/>
      <c r="D21" s="264">
        <f>D22+D23</f>
        <v>0</v>
      </c>
      <c r="E21" s="264">
        <f>E22+E23</f>
        <v>0</v>
      </c>
      <c r="F21" s="264">
        <f>F22+F23</f>
        <v>0</v>
      </c>
    </row>
    <row r="22" spans="1:6" ht="15.75">
      <c r="A22" s="423" t="s">
        <v>161</v>
      </c>
      <c r="B22" s="423"/>
      <c r="C22" s="423"/>
      <c r="D22" s="157"/>
      <c r="E22" s="157"/>
      <c r="F22" s="157"/>
    </row>
    <row r="23" spans="1:6" ht="15.75">
      <c r="A23" s="423" t="s">
        <v>162</v>
      </c>
      <c r="B23" s="423"/>
      <c r="C23" s="423"/>
      <c r="D23" s="157"/>
      <c r="E23" s="157"/>
      <c r="F23" s="157"/>
    </row>
    <row r="24" spans="1:6" ht="15.75">
      <c r="A24" s="423" t="s">
        <v>171</v>
      </c>
      <c r="B24" s="423"/>
      <c r="C24" s="423"/>
      <c r="D24" s="264">
        <f>D25+D26</f>
        <v>0</v>
      </c>
      <c r="E24" s="264">
        <f>E25+E26</f>
        <v>0</v>
      </c>
      <c r="F24" s="264">
        <f>F25+F26</f>
        <v>0</v>
      </c>
    </row>
    <row r="25" spans="1:6" ht="15.75">
      <c r="A25" s="423" t="s">
        <v>161</v>
      </c>
      <c r="B25" s="423"/>
      <c r="C25" s="423"/>
      <c r="D25" s="157"/>
      <c r="E25" s="157"/>
      <c r="F25" s="157"/>
    </row>
    <row r="26" spans="1:6" ht="15.75">
      <c r="A26" s="423" t="s">
        <v>162</v>
      </c>
      <c r="B26" s="423"/>
      <c r="C26" s="423"/>
      <c r="D26" s="157"/>
      <c r="E26" s="157"/>
      <c r="F26" s="157"/>
    </row>
    <row r="27" spans="1:6" ht="15.75">
      <c r="A27" s="423" t="s">
        <v>172</v>
      </c>
      <c r="B27" s="423"/>
      <c r="C27" s="423"/>
      <c r="D27" s="157"/>
      <c r="E27" s="157"/>
      <c r="F27" s="157"/>
    </row>
    <row r="28" spans="1:6" ht="15.75">
      <c r="A28" s="155" t="s">
        <v>242</v>
      </c>
      <c r="B28" s="155"/>
      <c r="C28" s="155"/>
      <c r="D28" s="157"/>
      <c r="E28" s="157"/>
      <c r="F28" s="157"/>
    </row>
    <row r="29" spans="1:6" s="149" customFormat="1" ht="15.75">
      <c r="A29" s="418" t="s">
        <v>173</v>
      </c>
      <c r="B29" s="418"/>
      <c r="C29" s="419"/>
      <c r="D29" s="265">
        <f>D9+D17+D20</f>
        <v>0</v>
      </c>
      <c r="E29" s="265">
        <f>E9+E17+E20</f>
        <v>0</v>
      </c>
      <c r="F29" s="265">
        <f>F9+F17+F20</f>
        <v>0</v>
      </c>
    </row>
    <row r="30" spans="1:6" s="151" customFormat="1" ht="25.5" customHeight="1">
      <c r="A30" s="427" t="s">
        <v>174</v>
      </c>
      <c r="B30" s="427"/>
      <c r="C30" s="428"/>
      <c r="D30" s="150">
        <f>D8</f>
        <v>2008</v>
      </c>
      <c r="E30" s="150">
        <f>E8</f>
        <v>2009</v>
      </c>
      <c r="F30" s="150">
        <f>F8</f>
        <v>2010</v>
      </c>
    </row>
    <row r="31" spans="1:6" s="149" customFormat="1" ht="15.75">
      <c r="A31" s="425" t="s">
        <v>175</v>
      </c>
      <c r="B31" s="425"/>
      <c r="C31" s="426"/>
      <c r="D31" s="266">
        <f>D32+D33</f>
        <v>0</v>
      </c>
      <c r="E31" s="266">
        <f>E32+E33</f>
        <v>0</v>
      </c>
      <c r="F31" s="266">
        <f>F32+F33</f>
        <v>0</v>
      </c>
    </row>
    <row r="32" spans="1:6" ht="15.75">
      <c r="A32" s="423" t="s">
        <v>176</v>
      </c>
      <c r="B32" s="423"/>
      <c r="C32" s="424"/>
      <c r="D32" s="139"/>
      <c r="E32" s="139"/>
      <c r="F32" s="140"/>
    </row>
    <row r="33" spans="1:6" ht="15.75">
      <c r="A33" s="423" t="s">
        <v>177</v>
      </c>
      <c r="B33" s="423"/>
      <c r="C33" s="424"/>
      <c r="D33" s="139"/>
      <c r="E33" s="139"/>
      <c r="F33" s="140"/>
    </row>
    <row r="34" spans="1:6" s="149" customFormat="1" ht="15.75">
      <c r="A34" s="425" t="s">
        <v>178</v>
      </c>
      <c r="B34" s="425"/>
      <c r="C34" s="426"/>
      <c r="D34" s="266">
        <f>D35+D36+D37</f>
        <v>0</v>
      </c>
      <c r="E34" s="266">
        <f>E35+E36+E37</f>
        <v>0</v>
      </c>
      <c r="F34" s="266">
        <f>F35+F36+F37</f>
        <v>0</v>
      </c>
    </row>
    <row r="35" spans="1:6" ht="15.75">
      <c r="A35" s="423" t="s">
        <v>179</v>
      </c>
      <c r="B35" s="423"/>
      <c r="C35" s="424"/>
      <c r="D35" s="139"/>
      <c r="E35" s="139"/>
      <c r="F35" s="140"/>
    </row>
    <row r="36" spans="1:6" ht="15.75">
      <c r="A36" s="423" t="s">
        <v>180</v>
      </c>
      <c r="B36" s="423"/>
      <c r="C36" s="424"/>
      <c r="D36" s="139"/>
      <c r="E36" s="139"/>
      <c r="F36" s="140"/>
    </row>
    <row r="37" spans="1:6" ht="15.75">
      <c r="A37" s="423" t="s">
        <v>181</v>
      </c>
      <c r="B37" s="423"/>
      <c r="C37" s="424"/>
      <c r="D37" s="267">
        <f>D38+D39</f>
        <v>0</v>
      </c>
      <c r="E37" s="267">
        <f>E38+E39</f>
        <v>0</v>
      </c>
      <c r="F37" s="267">
        <f>F38+F39</f>
        <v>0</v>
      </c>
    </row>
    <row r="38" spans="1:6" ht="15.75">
      <c r="A38" s="423" t="s">
        <v>182</v>
      </c>
      <c r="B38" s="423"/>
      <c r="C38" s="424"/>
      <c r="D38" s="139"/>
      <c r="E38" s="139"/>
      <c r="F38" s="140"/>
    </row>
    <row r="39" spans="1:6" ht="15.75">
      <c r="A39" s="423" t="s">
        <v>183</v>
      </c>
      <c r="B39" s="423"/>
      <c r="C39" s="424"/>
      <c r="D39" s="141"/>
      <c r="E39" s="141"/>
      <c r="F39" s="142"/>
    </row>
    <row r="40" spans="1:6" ht="15.75">
      <c r="A40" s="155" t="s">
        <v>243</v>
      </c>
      <c r="B40" s="155"/>
      <c r="C40" s="156"/>
      <c r="D40" s="141"/>
      <c r="E40" s="141"/>
      <c r="F40" s="142"/>
    </row>
    <row r="41" spans="1:6" s="149" customFormat="1" ht="15.75">
      <c r="A41" s="418" t="s">
        <v>184</v>
      </c>
      <c r="B41" s="418"/>
      <c r="C41" s="419"/>
      <c r="D41" s="268">
        <f>D31+D34</f>
        <v>0</v>
      </c>
      <c r="E41" s="268">
        <f>E31+E34</f>
        <v>0</v>
      </c>
      <c r="F41" s="268">
        <f>F31+F34</f>
        <v>0</v>
      </c>
    </row>
    <row r="42" spans="1:6" s="149" customFormat="1" ht="15.75">
      <c r="A42" s="418" t="s">
        <v>185</v>
      </c>
      <c r="B42" s="418"/>
      <c r="C42" s="419"/>
      <c r="D42" s="268">
        <f>D29-D41</f>
        <v>0</v>
      </c>
      <c r="E42" s="268">
        <f>E29-E41</f>
        <v>0</v>
      </c>
      <c r="F42" s="268">
        <f>F29-F41</f>
        <v>0</v>
      </c>
    </row>
    <row r="43" spans="1:6" s="149" customFormat="1" ht="15.75">
      <c r="A43" s="418" t="s">
        <v>186</v>
      </c>
      <c r="B43" s="418"/>
      <c r="C43" s="419"/>
      <c r="D43" s="153"/>
      <c r="E43" s="153"/>
      <c r="F43" s="154"/>
    </row>
    <row r="44" spans="1:6" ht="12.75">
      <c r="A44" s="420"/>
      <c r="B44" s="420"/>
      <c r="C44" s="420"/>
      <c r="D44" s="420"/>
      <c r="E44" s="420"/>
      <c r="F44" s="420"/>
    </row>
    <row r="45" spans="1:6" ht="12.75">
      <c r="A45" s="351"/>
      <c r="B45" s="351"/>
      <c r="C45" s="351"/>
      <c r="D45" s="351"/>
      <c r="E45" s="351"/>
      <c r="F45" s="421"/>
    </row>
    <row r="46" spans="1:6" ht="12.75">
      <c r="A46" s="351"/>
      <c r="B46" s="351"/>
      <c r="C46" s="351"/>
      <c r="D46" s="351"/>
      <c r="E46" s="351"/>
      <c r="F46" s="421"/>
    </row>
    <row r="47" spans="1:6" ht="12.75">
      <c r="A47" s="422" t="str">
        <f>DADOS!A3</f>
        <v>MUNICIPIO DE QUILOMBO</v>
      </c>
      <c r="B47" s="336"/>
      <c r="C47" s="336"/>
      <c r="D47" s="336"/>
      <c r="E47" s="336"/>
      <c r="F47" s="336"/>
    </row>
    <row r="48" spans="1:6" ht="12.75">
      <c r="A48" s="336" t="s">
        <v>48</v>
      </c>
      <c r="B48" s="336"/>
      <c r="C48" s="336"/>
      <c r="D48" s="336"/>
      <c r="E48" s="336"/>
      <c r="F48" s="336"/>
    </row>
    <row r="49" spans="1:6" ht="12.75">
      <c r="A49" s="336" t="s">
        <v>229</v>
      </c>
      <c r="B49" s="336"/>
      <c r="C49" s="336"/>
      <c r="D49" s="336"/>
      <c r="E49" s="336"/>
      <c r="F49" s="336"/>
    </row>
    <row r="50" spans="1:6" ht="12.75">
      <c r="A50" s="361" t="s">
        <v>244</v>
      </c>
      <c r="B50" s="361"/>
      <c r="C50" s="361"/>
      <c r="D50" s="361"/>
      <c r="E50" s="361"/>
      <c r="F50" s="361"/>
    </row>
    <row r="51" spans="1:6" ht="12.75">
      <c r="A51" s="336" t="str">
        <f>DADOS!A17</f>
        <v>Exercício de 2012</v>
      </c>
      <c r="B51" s="336"/>
      <c r="C51" s="336"/>
      <c r="D51" s="336"/>
      <c r="E51" s="336"/>
      <c r="F51" s="336"/>
    </row>
    <row r="52" spans="1:6" ht="12.75">
      <c r="A52" s="413"/>
      <c r="B52" s="413"/>
      <c r="C52" s="413"/>
      <c r="D52" s="413"/>
      <c r="E52" s="413"/>
      <c r="F52" s="413"/>
    </row>
    <row r="53" spans="1:8" s="40" customFormat="1" ht="15.75">
      <c r="A53" s="90" t="s">
        <v>158</v>
      </c>
      <c r="B53" s="91"/>
      <c r="C53" s="92"/>
      <c r="D53" s="92"/>
      <c r="E53" s="92"/>
      <c r="F53" s="105">
        <v>1</v>
      </c>
      <c r="G53" s="93"/>
      <c r="H53" s="94"/>
    </row>
    <row r="54" spans="1:8" s="67" customFormat="1" ht="33.75" customHeight="1">
      <c r="A54" s="353" t="s">
        <v>187</v>
      </c>
      <c r="B54" s="414" t="s">
        <v>188</v>
      </c>
      <c r="C54" s="66" t="s">
        <v>189</v>
      </c>
      <c r="D54" s="65" t="s">
        <v>190</v>
      </c>
      <c r="E54" s="65" t="s">
        <v>191</v>
      </c>
      <c r="F54" s="416" t="s">
        <v>245</v>
      </c>
      <c r="G54" s="42"/>
      <c r="H54" s="42"/>
    </row>
    <row r="55" spans="1:6" s="67" customFormat="1" ht="25.5" customHeight="1">
      <c r="A55" s="355"/>
      <c r="B55" s="415"/>
      <c r="C55" s="74" t="s">
        <v>192</v>
      </c>
      <c r="D55" s="65" t="s">
        <v>193</v>
      </c>
      <c r="E55" s="65" t="s">
        <v>194</v>
      </c>
      <c r="F55" s="417"/>
    </row>
    <row r="56" spans="1:6" ht="60" customHeight="1">
      <c r="A56" s="85"/>
      <c r="B56" s="85"/>
      <c r="C56" s="85"/>
      <c r="D56" s="89"/>
      <c r="E56" s="89"/>
      <c r="F56" s="89"/>
    </row>
    <row r="57" spans="1:6" ht="12.75">
      <c r="A57" s="332"/>
      <c r="B57" s="332"/>
      <c r="C57" s="332"/>
      <c r="D57" s="332"/>
      <c r="E57" s="332"/>
      <c r="F57" s="332"/>
    </row>
  </sheetData>
  <mergeCells count="53">
    <mergeCell ref="A1:F1"/>
    <mergeCell ref="A2:F2"/>
    <mergeCell ref="A3:F3"/>
    <mergeCell ref="A4:F4"/>
    <mergeCell ref="A5:F5"/>
    <mergeCell ref="A6:F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1:C41"/>
    <mergeCell ref="A42:C42"/>
    <mergeCell ref="A43:C43"/>
    <mergeCell ref="A44:F44"/>
    <mergeCell ref="A45:F46"/>
    <mergeCell ref="A47:F47"/>
    <mergeCell ref="A48:F48"/>
    <mergeCell ref="A49:F49"/>
    <mergeCell ref="A57:F57"/>
    <mergeCell ref="A50:F50"/>
    <mergeCell ref="A51:F51"/>
    <mergeCell ref="A52:F52"/>
    <mergeCell ref="A54:A55"/>
    <mergeCell ref="B54:B55"/>
    <mergeCell ref="F54:F55"/>
  </mergeCells>
  <hyperlinks>
    <hyperlink ref="A6:F6" location="DADOS!A1" display="voltar"/>
  </hyperlinks>
  <printOptions/>
  <pageMargins left="0.75" right="0.75" top="1" bottom="1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/>
  <dimension ref="A1:F16"/>
  <sheetViews>
    <sheetView workbookViewId="0" topLeftCell="A3">
      <selection activeCell="E18" sqref="E18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5" width="12.8515625" style="0" customWidth="1"/>
    <col min="6" max="6" width="31.140625" style="0" customWidth="1"/>
  </cols>
  <sheetData>
    <row r="1" spans="1:6" ht="12.75">
      <c r="A1" s="359" t="str">
        <f>DADOS!A3</f>
        <v>MUNICIPIO DE QUILOMBO</v>
      </c>
      <c r="B1" s="336"/>
      <c r="C1" s="336"/>
      <c r="D1" s="336"/>
      <c r="E1" s="336"/>
      <c r="F1" s="337"/>
    </row>
    <row r="2" spans="1:6" ht="12.75">
      <c r="A2" s="335" t="s">
        <v>48</v>
      </c>
      <c r="B2" s="336"/>
      <c r="C2" s="336"/>
      <c r="D2" s="336"/>
      <c r="E2" s="336"/>
      <c r="F2" s="337"/>
    </row>
    <row r="3" spans="1:6" ht="12.75">
      <c r="A3" s="335" t="s">
        <v>229</v>
      </c>
      <c r="B3" s="336"/>
      <c r="C3" s="336"/>
      <c r="D3" s="336"/>
      <c r="E3" s="336"/>
      <c r="F3" s="337"/>
    </row>
    <row r="4" spans="1:6" ht="12.75">
      <c r="A4" s="360" t="s">
        <v>246</v>
      </c>
      <c r="B4" s="361"/>
      <c r="C4" s="361"/>
      <c r="D4" s="361"/>
      <c r="E4" s="361"/>
      <c r="F4" s="362"/>
    </row>
    <row r="5" spans="1:6" ht="12.75">
      <c r="A5" s="335" t="str">
        <f>DADOS!A17</f>
        <v>Exercício de 2012</v>
      </c>
      <c r="B5" s="336"/>
      <c r="C5" s="336"/>
      <c r="D5" s="336"/>
      <c r="E5" s="336"/>
      <c r="F5" s="337"/>
    </row>
    <row r="6" spans="1:6" ht="12.75">
      <c r="A6" s="335"/>
      <c r="B6" s="336"/>
      <c r="C6" s="336"/>
      <c r="D6" s="336"/>
      <c r="E6" s="336"/>
      <c r="F6" s="337"/>
    </row>
    <row r="7" spans="1:6" ht="15.75">
      <c r="A7" s="95" t="s">
        <v>195</v>
      </c>
      <c r="B7" s="431"/>
      <c r="C7" s="431"/>
      <c r="D7" s="431"/>
      <c r="E7" s="431"/>
      <c r="F7" s="106">
        <v>1</v>
      </c>
    </row>
    <row r="8" spans="1:6" s="67" customFormat="1" ht="12.75">
      <c r="A8" s="353" t="s">
        <v>196</v>
      </c>
      <c r="B8" s="416" t="s">
        <v>197</v>
      </c>
      <c r="C8" s="432"/>
      <c r="D8" s="432"/>
      <c r="E8" s="353"/>
      <c r="F8" s="416" t="s">
        <v>198</v>
      </c>
    </row>
    <row r="9" spans="1:6" s="67" customFormat="1" ht="12.75">
      <c r="A9" s="354"/>
      <c r="B9" s="417"/>
      <c r="C9" s="433"/>
      <c r="D9" s="433"/>
      <c r="E9" s="355"/>
      <c r="F9" s="434"/>
    </row>
    <row r="10" spans="1:6" ht="15.75" customHeight="1">
      <c r="A10" s="355"/>
      <c r="B10" s="96" t="s">
        <v>199</v>
      </c>
      <c r="C10" s="97">
        <f>DADOS!E32</f>
        <v>2012</v>
      </c>
      <c r="D10" s="97">
        <f>C10+1</f>
        <v>2013</v>
      </c>
      <c r="E10" s="97">
        <f>D10+1</f>
        <v>2014</v>
      </c>
      <c r="F10" s="417"/>
    </row>
    <row r="11" spans="1:6" ht="15.75">
      <c r="A11" s="99" t="s">
        <v>333</v>
      </c>
      <c r="B11" s="80" t="s">
        <v>337</v>
      </c>
      <c r="C11" s="107">
        <v>25000</v>
      </c>
      <c r="D11" s="107">
        <v>25000</v>
      </c>
      <c r="E11" s="107">
        <v>25000</v>
      </c>
      <c r="F11" s="435" t="s">
        <v>340</v>
      </c>
    </row>
    <row r="12" spans="1:6" ht="15.75">
      <c r="A12" s="99" t="s">
        <v>334</v>
      </c>
      <c r="B12" s="80" t="s">
        <v>337</v>
      </c>
      <c r="C12" s="107">
        <v>50000</v>
      </c>
      <c r="D12" s="107">
        <v>50000</v>
      </c>
      <c r="E12" s="107">
        <v>50000</v>
      </c>
      <c r="F12" s="436"/>
    </row>
    <row r="13" spans="1:6" ht="15.75">
      <c r="A13" s="99" t="s">
        <v>335</v>
      </c>
      <c r="B13" s="80" t="s">
        <v>337</v>
      </c>
      <c r="C13" s="107">
        <v>15000</v>
      </c>
      <c r="D13" s="107">
        <v>40000</v>
      </c>
      <c r="E13" s="107">
        <v>40000</v>
      </c>
      <c r="F13" s="331"/>
    </row>
    <row r="14" spans="1:6" ht="15.75">
      <c r="A14" s="99" t="s">
        <v>336</v>
      </c>
      <c r="B14" s="82" t="s">
        <v>338</v>
      </c>
      <c r="C14" s="108">
        <v>2000</v>
      </c>
      <c r="D14" s="108">
        <v>2000</v>
      </c>
      <c r="E14" s="108">
        <v>2000</v>
      </c>
      <c r="F14" s="143" t="s">
        <v>339</v>
      </c>
    </row>
    <row r="15" spans="1:6" ht="15.75">
      <c r="A15" s="437" t="s">
        <v>142</v>
      </c>
      <c r="B15" s="438"/>
      <c r="C15" s="269">
        <f>SUM(C11:C14)</f>
        <v>92000</v>
      </c>
      <c r="D15" s="269">
        <f>SUM(D11:D14)</f>
        <v>117000</v>
      </c>
      <c r="E15" s="269">
        <f>SUM(E11:E14)</f>
        <v>117000</v>
      </c>
      <c r="F15" s="269">
        <f>SUM(F11:F14)</f>
        <v>0</v>
      </c>
    </row>
    <row r="16" spans="1:6" ht="12.75">
      <c r="A16" s="332"/>
      <c r="B16" s="332"/>
      <c r="C16" s="332"/>
      <c r="D16" s="332"/>
      <c r="E16" s="332"/>
      <c r="F16" s="332"/>
    </row>
  </sheetData>
  <mergeCells count="13">
    <mergeCell ref="A1:F1"/>
    <mergeCell ref="A2:F2"/>
    <mergeCell ref="A3:F3"/>
    <mergeCell ref="A4:F4"/>
    <mergeCell ref="A5:F5"/>
    <mergeCell ref="A6:F6"/>
    <mergeCell ref="F11:F12"/>
    <mergeCell ref="A15:B15"/>
    <mergeCell ref="A16:F16"/>
    <mergeCell ref="B7:E7"/>
    <mergeCell ref="A8:A10"/>
    <mergeCell ref="B8:E9"/>
    <mergeCell ref="F8:F10"/>
  </mergeCells>
  <printOptions/>
  <pageMargins left="0.75" right="0.75" top="1" bottom="1" header="0.492125985" footer="0.49212598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/>
  <dimension ref="A1:B36"/>
  <sheetViews>
    <sheetView workbookViewId="0" topLeftCell="A7">
      <selection activeCell="B11" sqref="B11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59" t="str">
        <f>DADOS!A3</f>
        <v>MUNICIPIO DE QUILOMBO</v>
      </c>
      <c r="B1" s="337"/>
    </row>
    <row r="2" spans="1:2" ht="12.75">
      <c r="A2" s="335" t="s">
        <v>48</v>
      </c>
      <c r="B2" s="337"/>
    </row>
    <row r="3" spans="1:2" ht="12.75">
      <c r="A3" s="335" t="s">
        <v>229</v>
      </c>
      <c r="B3" s="337"/>
    </row>
    <row r="4" spans="1:2" ht="12.75">
      <c r="A4" s="360" t="s">
        <v>293</v>
      </c>
      <c r="B4" s="362"/>
    </row>
    <row r="5" spans="1:2" ht="12.75">
      <c r="A5" s="335" t="str">
        <f>DADOS!A17</f>
        <v>Exercício de 2012</v>
      </c>
      <c r="B5" s="337"/>
    </row>
    <row r="6" spans="1:2" ht="12.75">
      <c r="A6" s="439" t="s">
        <v>323</v>
      </c>
      <c r="B6" s="439"/>
    </row>
    <row r="7" spans="1:2" ht="12.75">
      <c r="A7" s="64" t="s">
        <v>195</v>
      </c>
      <c r="B7" s="103" t="s">
        <v>309</v>
      </c>
    </row>
    <row r="8" spans="1:2" s="67" customFormat="1" ht="25.5" customHeight="1">
      <c r="A8" s="74" t="s">
        <v>200</v>
      </c>
      <c r="B8" s="83">
        <f>DADOS!E32</f>
        <v>2012</v>
      </c>
    </row>
    <row r="9" spans="1:2" ht="15.75">
      <c r="A9" s="276" t="s">
        <v>201</v>
      </c>
      <c r="B9" s="279">
        <f>B10+B11</f>
        <v>1932581.1696191104</v>
      </c>
    </row>
    <row r="10" spans="1:2" ht="15.75">
      <c r="A10" s="87" t="s">
        <v>279</v>
      </c>
      <c r="B10" s="278">
        <f>((Projeções!F10)*(1+Parâmetros!E15)*(1+Parâmetros!E18))-Projeções!F10</f>
        <v>114944.97711910773</v>
      </c>
    </row>
    <row r="11" spans="1:2" ht="15.75">
      <c r="A11" s="87" t="s">
        <v>280</v>
      </c>
      <c r="B11" s="278">
        <f>((Projeções!F18)*(1+Parâmetros!E15)*(1+Parâmetros!E19))-Projeções!F18</f>
        <v>1817636.1925000027</v>
      </c>
    </row>
    <row r="12" spans="1:2" ht="15.75">
      <c r="A12" s="88" t="s">
        <v>302</v>
      </c>
      <c r="B12" s="278">
        <f>((Projeções!F26)*(1+Parâmetros!E15))-Projeções!F26</f>
        <v>-113718.54000000004</v>
      </c>
    </row>
    <row r="13" spans="1:2" ht="15.75">
      <c r="A13" s="277" t="s">
        <v>202</v>
      </c>
      <c r="B13" s="280">
        <f>B9+B12</f>
        <v>1818862.6296191104</v>
      </c>
    </row>
    <row r="14" spans="1:2" ht="15.75">
      <c r="A14" s="88" t="s">
        <v>203</v>
      </c>
      <c r="B14" s="281">
        <v>0</v>
      </c>
    </row>
    <row r="15" spans="1:2" ht="15.75">
      <c r="A15" s="88" t="s">
        <v>204</v>
      </c>
      <c r="B15" s="280">
        <f>B13+B14</f>
        <v>1818862.6296191104</v>
      </c>
    </row>
    <row r="16" spans="1:2" ht="15.75">
      <c r="A16" s="87" t="s">
        <v>205</v>
      </c>
      <c r="B16" s="278"/>
    </row>
    <row r="17" spans="1:2" ht="15.75">
      <c r="A17" s="277" t="s">
        <v>206</v>
      </c>
      <c r="B17" s="280">
        <f>B18+B19</f>
        <v>1501557.5285500009</v>
      </c>
    </row>
    <row r="18" spans="1:2" ht="15.75">
      <c r="A18" s="88" t="s">
        <v>281</v>
      </c>
      <c r="B18" s="278">
        <f>((Projeções!F34)*(1+Parâmetros!E16)*(1+Parâmetros!E20))-Projeções!F34</f>
        <v>683810.0261000004</v>
      </c>
    </row>
    <row r="19" spans="1:2" ht="15.75">
      <c r="A19" s="88" t="s">
        <v>282</v>
      </c>
      <c r="B19" s="278">
        <f>((Projeções!F36)*(1+Parâmetros!E15)*(1+Parâmetros!E17))-Projeções!F36</f>
        <v>817747.5024500005</v>
      </c>
    </row>
    <row r="20" spans="1:2" ht="15.75">
      <c r="A20" s="277" t="s">
        <v>207</v>
      </c>
      <c r="B20" s="282">
        <f>IF(B15-B16-B17&lt;0,"SEM MARGEM",B15-B16-B17)</f>
        <v>317305.1010691095</v>
      </c>
    </row>
    <row r="21" spans="1:2" ht="12.75">
      <c r="A21" s="332"/>
      <c r="B21" s="332"/>
    </row>
    <row r="22" ht="12.75">
      <c r="A22" s="43" t="s">
        <v>283</v>
      </c>
    </row>
    <row r="23" spans="1:2" ht="12.75">
      <c r="A23" s="283" t="s">
        <v>284</v>
      </c>
      <c r="B23" s="283"/>
    </row>
    <row r="24" ht="12.75">
      <c r="A24" s="283" t="s">
        <v>285</v>
      </c>
    </row>
    <row r="25" ht="12.75">
      <c r="A25" s="283" t="s">
        <v>286</v>
      </c>
    </row>
    <row r="26" ht="12.75">
      <c r="A26" s="283" t="s">
        <v>303</v>
      </c>
    </row>
    <row r="27" ht="12.75">
      <c r="A27" s="283" t="s">
        <v>287</v>
      </c>
    </row>
    <row r="28" ht="12.75">
      <c r="A28" s="283" t="s">
        <v>304</v>
      </c>
    </row>
    <row r="29" ht="12.75">
      <c r="A29" s="283" t="s">
        <v>288</v>
      </c>
    </row>
    <row r="30" ht="12.75">
      <c r="A30" t="s">
        <v>289</v>
      </c>
    </row>
    <row r="31" ht="12.75">
      <c r="A31" t="s">
        <v>290</v>
      </c>
    </row>
    <row r="32" ht="12.75">
      <c r="A32" t="s">
        <v>291</v>
      </c>
    </row>
    <row r="33" ht="12.75">
      <c r="A33" t="s">
        <v>292</v>
      </c>
    </row>
    <row r="34" ht="12.75">
      <c r="A34" t="s">
        <v>294</v>
      </c>
    </row>
    <row r="35" ht="12.75">
      <c r="A35" t="s">
        <v>295</v>
      </c>
    </row>
    <row r="36" ht="12.75">
      <c r="A36" t="s">
        <v>296</v>
      </c>
    </row>
  </sheetData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5" right="0.75" top="1" bottom="1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/>
  <dimension ref="A1:D21"/>
  <sheetViews>
    <sheetView zoomScaleSheetLayoutView="95" workbookViewId="0" topLeftCell="A4">
      <selection activeCell="C13" sqref="C1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9" t="s">
        <v>215</v>
      </c>
      <c r="B1" s="449"/>
      <c r="C1" s="449"/>
      <c r="D1" s="449"/>
    </row>
    <row r="2" spans="1:4" ht="12.75">
      <c r="A2" s="449"/>
      <c r="B2" s="449"/>
      <c r="C2" s="449"/>
      <c r="D2" s="449"/>
    </row>
    <row r="3" spans="1:4" ht="12.75">
      <c r="A3" s="450" t="str">
        <f>DADOS!A3</f>
        <v>MUNICIPIO DE QUILOMBO</v>
      </c>
      <c r="B3" s="446"/>
      <c r="C3" s="446"/>
      <c r="D3" s="446"/>
    </row>
    <row r="4" spans="1:4" ht="12.75">
      <c r="A4" s="446" t="s">
        <v>48</v>
      </c>
      <c r="B4" s="446"/>
      <c r="C4" s="446"/>
      <c r="D4" s="446"/>
    </row>
    <row r="5" spans="1:4" ht="12.75">
      <c r="A5" s="446" t="s">
        <v>273</v>
      </c>
      <c r="B5" s="446"/>
      <c r="C5" s="446"/>
      <c r="D5" s="446"/>
    </row>
    <row r="6" spans="1:4" ht="21" customHeight="1">
      <c r="A6" s="447" t="s">
        <v>208</v>
      </c>
      <c r="B6" s="447"/>
      <c r="C6" s="447"/>
      <c r="D6" s="447"/>
    </row>
    <row r="7" spans="1:4" ht="12.75">
      <c r="A7" s="446" t="str">
        <f>DADOS!A17</f>
        <v>Exercício de 2012</v>
      </c>
      <c r="B7" s="446"/>
      <c r="C7" s="446"/>
      <c r="D7" s="446"/>
    </row>
    <row r="8" spans="1:4" ht="12.75">
      <c r="A8" s="448"/>
      <c r="B8" s="448"/>
      <c r="C8" s="448"/>
      <c r="D8" s="448"/>
    </row>
    <row r="9" spans="1:4" ht="12.75">
      <c r="A9" s="440" t="s">
        <v>209</v>
      </c>
      <c r="B9" s="440"/>
      <c r="C9" s="441">
        <v>1</v>
      </c>
      <c r="D9" s="442"/>
    </row>
    <row r="10" spans="1:4" ht="12.75">
      <c r="A10" s="443" t="s">
        <v>210</v>
      </c>
      <c r="B10" s="444"/>
      <c r="C10" s="445" t="s">
        <v>211</v>
      </c>
      <c r="D10" s="443"/>
    </row>
    <row r="11" spans="1:4" ht="12.75">
      <c r="A11" s="84" t="s">
        <v>212</v>
      </c>
      <c r="B11" s="84" t="s">
        <v>106</v>
      </c>
      <c r="C11" s="84" t="s">
        <v>212</v>
      </c>
      <c r="D11" s="98" t="s">
        <v>106</v>
      </c>
    </row>
    <row r="12" spans="1:4" ht="12.75">
      <c r="A12" s="99" t="s">
        <v>341</v>
      </c>
      <c r="B12" s="144"/>
      <c r="C12" s="99" t="s">
        <v>343</v>
      </c>
      <c r="D12" s="146"/>
    </row>
    <row r="13" spans="1:4" ht="12.75">
      <c r="A13" s="99" t="s">
        <v>344</v>
      </c>
      <c r="B13" s="144"/>
      <c r="C13" s="99" t="s">
        <v>342</v>
      </c>
      <c r="D13" s="146">
        <v>213260</v>
      </c>
    </row>
    <row r="14" spans="1:4" ht="12.75">
      <c r="A14" s="99" t="s">
        <v>345</v>
      </c>
      <c r="B14" s="144">
        <v>213260</v>
      </c>
      <c r="C14" s="99"/>
      <c r="D14" s="146"/>
    </row>
    <row r="15" spans="1:4" ht="12.75">
      <c r="A15" s="99"/>
      <c r="B15" s="144"/>
      <c r="C15" s="99"/>
      <c r="D15" s="146"/>
    </row>
    <row r="16" spans="1:4" ht="12.75">
      <c r="A16" s="101"/>
      <c r="B16" s="145"/>
      <c r="C16" s="101"/>
      <c r="D16" s="147"/>
    </row>
    <row r="17" spans="1:4" ht="12.75">
      <c r="A17" s="102" t="s">
        <v>142</v>
      </c>
      <c r="B17" s="270">
        <f>SUM(B12:B16)</f>
        <v>213260</v>
      </c>
      <c r="C17" s="102" t="s">
        <v>142</v>
      </c>
      <c r="D17" s="270">
        <f>SUM(D12:D16)</f>
        <v>213260</v>
      </c>
    </row>
    <row r="18" spans="1:4" ht="12.75">
      <c r="A18" s="294"/>
      <c r="B18" s="100"/>
      <c r="C18" s="100"/>
      <c r="D18" s="100"/>
    </row>
    <row r="21" ht="12.75">
      <c r="A21" s="325" t="s">
        <v>323</v>
      </c>
    </row>
  </sheetData>
  <mergeCells count="12">
    <mergeCell ref="A1:D1"/>
    <mergeCell ref="A2:D2"/>
    <mergeCell ref="A3:D3"/>
    <mergeCell ref="A4:D4"/>
    <mergeCell ref="A5:D5"/>
    <mergeCell ref="A6:D6"/>
    <mergeCell ref="A7:D7"/>
    <mergeCell ref="A8:D8"/>
    <mergeCell ref="A9:B9"/>
    <mergeCell ref="C9:D9"/>
    <mergeCell ref="A10:B10"/>
    <mergeCell ref="C10:D10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51"/>
  <sheetViews>
    <sheetView zoomScale="75" zoomScaleNormal="75" zoomScaleSheetLayoutView="80" workbookViewId="0" topLeftCell="A19">
      <selection activeCell="F39" sqref="F39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21">
        <f>DADOS!$E$32-4</f>
        <v>2008</v>
      </c>
      <c r="D1" s="321">
        <f>DADOS!$E$32-3</f>
        <v>2009</v>
      </c>
      <c r="E1" s="321">
        <f>DADOS!$E$32-2</f>
        <v>2010</v>
      </c>
      <c r="F1" s="321">
        <f>DADOS!$E$32-1</f>
        <v>2011</v>
      </c>
    </row>
    <row r="2" spans="3:6" s="158" customFormat="1" ht="18" customHeight="1">
      <c r="C2" s="159" t="s">
        <v>252</v>
      </c>
      <c r="D2" s="159" t="s">
        <v>252</v>
      </c>
      <c r="E2" s="159" t="s">
        <v>252</v>
      </c>
      <c r="F2" s="159" t="s">
        <v>253</v>
      </c>
    </row>
    <row r="3" spans="1:6" s="43" customFormat="1" ht="12.75">
      <c r="A3" s="163" t="s">
        <v>57</v>
      </c>
      <c r="B3" s="164" t="s">
        <v>2</v>
      </c>
      <c r="C3" s="176">
        <f>C4+C5+C6+C9+C10+C11+C12+C13</f>
        <v>16519068.49</v>
      </c>
      <c r="D3" s="176">
        <f>D4+D5+D6+D9+D10+D11+D12+D13</f>
        <v>17222179.46</v>
      </c>
      <c r="E3" s="176">
        <f>E4+E5+E6+E9+E10+E11+E12+E13</f>
        <v>19141887.34</v>
      </c>
      <c r="F3" s="176">
        <f>F4+F5+F6+F9+F10+F11+F12+F13</f>
        <v>21300800</v>
      </c>
    </row>
    <row r="4" spans="1:6" s="43" customFormat="1" ht="12.75">
      <c r="A4" s="167" t="s">
        <v>58</v>
      </c>
      <c r="B4" s="168" t="s">
        <v>59</v>
      </c>
      <c r="C4" s="178">
        <v>820035.4</v>
      </c>
      <c r="D4" s="178">
        <v>881356.56</v>
      </c>
      <c r="E4" s="178">
        <v>881935</v>
      </c>
      <c r="F4" s="178">
        <v>1204500</v>
      </c>
    </row>
    <row r="5" spans="1:6" s="43" customFormat="1" ht="12.75">
      <c r="A5" s="167" t="s">
        <v>60</v>
      </c>
      <c r="B5" s="168" t="s">
        <v>61</v>
      </c>
      <c r="C5" s="178">
        <v>85148.77</v>
      </c>
      <c r="D5" s="178">
        <v>79231.15</v>
      </c>
      <c r="E5" s="178">
        <v>98742.54</v>
      </c>
      <c r="F5" s="178">
        <v>102000</v>
      </c>
    </row>
    <row r="6" spans="1:6" s="43" customFormat="1" ht="12.75">
      <c r="A6" s="167" t="s">
        <v>62</v>
      </c>
      <c r="B6" s="168" t="s">
        <v>3</v>
      </c>
      <c r="C6" s="176">
        <f>C7+C8</f>
        <v>104037.54</v>
      </c>
      <c r="D6" s="176">
        <f>D7+D8</f>
        <v>119624.73999999999</v>
      </c>
      <c r="E6" s="176">
        <f>E7+E8</f>
        <v>105164.56</v>
      </c>
      <c r="F6" s="176">
        <f>F7+F8</f>
        <v>62590</v>
      </c>
    </row>
    <row r="7" spans="1:6" ht="12.75">
      <c r="A7" s="167" t="s">
        <v>63</v>
      </c>
      <c r="B7" s="168" t="s">
        <v>247</v>
      </c>
      <c r="C7" s="178">
        <v>89751.92</v>
      </c>
      <c r="D7" s="178">
        <v>95935.39</v>
      </c>
      <c r="E7" s="178">
        <v>95789.53</v>
      </c>
      <c r="F7" s="178">
        <v>41590</v>
      </c>
    </row>
    <row r="8" spans="1:6" ht="12.75">
      <c r="A8" s="167" t="s">
        <v>64</v>
      </c>
      <c r="B8" s="168" t="s">
        <v>65</v>
      </c>
      <c r="C8" s="178">
        <v>14285.62</v>
      </c>
      <c r="D8" s="178">
        <v>23689.35</v>
      </c>
      <c r="E8" s="178">
        <v>9375.03</v>
      </c>
      <c r="F8" s="178">
        <v>21000</v>
      </c>
    </row>
    <row r="9" spans="1:6" ht="12.75">
      <c r="A9" s="167" t="s">
        <v>66</v>
      </c>
      <c r="B9" s="168" t="s">
        <v>67</v>
      </c>
      <c r="C9" s="178">
        <v>5413.2</v>
      </c>
      <c r="D9" s="178">
        <v>0</v>
      </c>
      <c r="E9" s="178">
        <v>0</v>
      </c>
      <c r="F9" s="178">
        <v>3000</v>
      </c>
    </row>
    <row r="10" spans="1:6" ht="12.75">
      <c r="A10" s="167" t="s">
        <v>68</v>
      </c>
      <c r="B10" s="168" t="s">
        <v>4</v>
      </c>
      <c r="C10" s="178">
        <v>0</v>
      </c>
      <c r="D10" s="178">
        <v>0</v>
      </c>
      <c r="E10" s="178">
        <v>0</v>
      </c>
      <c r="F10" s="178">
        <v>0</v>
      </c>
    </row>
    <row r="11" spans="1:6" ht="12.75">
      <c r="A11" s="167" t="s">
        <v>69</v>
      </c>
      <c r="B11" s="168" t="s">
        <v>70</v>
      </c>
      <c r="C11" s="178">
        <v>8908.16</v>
      </c>
      <c r="D11" s="178">
        <v>13842.5</v>
      </c>
      <c r="E11" s="178">
        <v>1846581.07</v>
      </c>
      <c r="F11" s="178">
        <v>90900</v>
      </c>
    </row>
    <row r="12" spans="1:6" s="43" customFormat="1" ht="12.75">
      <c r="A12" s="167" t="s">
        <v>71</v>
      </c>
      <c r="B12" s="168" t="s">
        <v>72</v>
      </c>
      <c r="C12" s="178">
        <v>15384469.67</v>
      </c>
      <c r="D12" s="178">
        <v>15978698.12</v>
      </c>
      <c r="E12" s="178">
        <v>16021961.19</v>
      </c>
      <c r="F12" s="178">
        <v>19689500</v>
      </c>
    </row>
    <row r="13" spans="1:6" s="43" customFormat="1" ht="12.75">
      <c r="A13" s="167" t="s">
        <v>73</v>
      </c>
      <c r="B13" s="168" t="s">
        <v>5</v>
      </c>
      <c r="C13" s="178">
        <v>111055.75</v>
      </c>
      <c r="D13" s="178">
        <v>149426.39</v>
      </c>
      <c r="E13" s="178">
        <v>187502.98</v>
      </c>
      <c r="F13" s="178">
        <v>148310</v>
      </c>
    </row>
    <row r="14" spans="1:6" s="43" customFormat="1" ht="12.75">
      <c r="A14" s="165" t="s">
        <v>74</v>
      </c>
      <c r="B14" s="166" t="s">
        <v>75</v>
      </c>
      <c r="C14" s="176">
        <f>C15+C16+C17+C18+C19</f>
        <v>1524328.8599999999</v>
      </c>
      <c r="D14" s="176">
        <f>D15+D16+D17+D18+D19</f>
        <v>790145.16</v>
      </c>
      <c r="E14" s="176">
        <f>E15+E16+E17+E18+E19</f>
        <v>967151.69</v>
      </c>
      <c r="F14" s="176">
        <f>F15+F16+F17+F18+F19</f>
        <v>2431000</v>
      </c>
    </row>
    <row r="15" spans="1:6" s="43" customFormat="1" ht="12.75">
      <c r="A15" s="167" t="s">
        <v>76</v>
      </c>
      <c r="B15" s="168" t="s">
        <v>77</v>
      </c>
      <c r="C15" s="178">
        <v>659400</v>
      </c>
      <c r="D15" s="178">
        <v>0</v>
      </c>
      <c r="E15" s="178">
        <v>0</v>
      </c>
      <c r="F15" s="178">
        <v>1400000</v>
      </c>
    </row>
    <row r="16" spans="1:6" s="43" customFormat="1" ht="12.75">
      <c r="A16" s="167" t="s">
        <v>78</v>
      </c>
      <c r="B16" s="168" t="s">
        <v>79</v>
      </c>
      <c r="C16" s="178">
        <v>0</v>
      </c>
      <c r="D16" s="178">
        <v>0</v>
      </c>
      <c r="E16" s="178">
        <v>0</v>
      </c>
      <c r="F16" s="178">
        <v>0</v>
      </c>
    </row>
    <row r="17" spans="1:6" ht="12.75">
      <c r="A17" s="167" t="s">
        <v>80</v>
      </c>
      <c r="B17" s="168" t="s">
        <v>81</v>
      </c>
      <c r="C17" s="178">
        <v>85004</v>
      </c>
      <c r="D17" s="178">
        <v>99135.16</v>
      </c>
      <c r="E17" s="178">
        <v>122764.82</v>
      </c>
      <c r="F17" s="178">
        <v>110000</v>
      </c>
    </row>
    <row r="18" spans="1:6" s="43" customFormat="1" ht="12.75">
      <c r="A18" s="167" t="s">
        <v>82</v>
      </c>
      <c r="B18" s="168" t="s">
        <v>83</v>
      </c>
      <c r="C18" s="178">
        <v>779924.86</v>
      </c>
      <c r="D18" s="178">
        <v>691010</v>
      </c>
      <c r="E18" s="178">
        <v>844386.87</v>
      </c>
      <c r="F18" s="178">
        <v>921000</v>
      </c>
    </row>
    <row r="19" spans="1:6" ht="12.75">
      <c r="A19" s="167" t="s">
        <v>84</v>
      </c>
      <c r="B19" s="168" t="s">
        <v>6</v>
      </c>
      <c r="C19" s="178">
        <v>0</v>
      </c>
      <c r="D19" s="178">
        <v>0</v>
      </c>
      <c r="E19" s="178">
        <v>0</v>
      </c>
      <c r="F19" s="178">
        <v>0</v>
      </c>
    </row>
    <row r="20" spans="1:6" ht="12.75">
      <c r="A20" s="167" t="s">
        <v>248</v>
      </c>
      <c r="B20" s="166" t="s">
        <v>260</v>
      </c>
      <c r="C20" s="178">
        <v>-1900941.87</v>
      </c>
      <c r="D20" s="178">
        <v>-2161366.78</v>
      </c>
      <c r="E20" s="178">
        <v>-2371448.04</v>
      </c>
      <c r="F20" s="178">
        <v>-2821800</v>
      </c>
    </row>
    <row r="21" spans="1:6" ht="12.75">
      <c r="A21" s="167"/>
      <c r="B21" s="168"/>
      <c r="C21" s="178">
        <v>0</v>
      </c>
      <c r="D21" s="178">
        <v>0</v>
      </c>
      <c r="E21" s="178">
        <v>0</v>
      </c>
      <c r="F21" s="178">
        <v>0</v>
      </c>
    </row>
    <row r="22" spans="1:6" s="43" customFormat="1" ht="12.75">
      <c r="A22" s="170"/>
      <c r="B22" s="169" t="s">
        <v>85</v>
      </c>
      <c r="C22" s="176">
        <f>C3+C14+C20</f>
        <v>16142455.48</v>
      </c>
      <c r="D22" s="176">
        <f>D3+D14+D20</f>
        <v>15850957.840000002</v>
      </c>
      <c r="E22" s="176">
        <f>E3+E14+E20</f>
        <v>17737590.990000002</v>
      </c>
      <c r="F22" s="176">
        <f>F3+F14+F20</f>
        <v>20910000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2008</v>
      </c>
      <c r="D24" s="50">
        <f>D1</f>
        <v>2009</v>
      </c>
      <c r="E24" s="50">
        <f>E1</f>
        <v>2010</v>
      </c>
      <c r="F24" s="50">
        <f>F1</f>
        <v>2011</v>
      </c>
    </row>
    <row r="25" spans="3:6" s="158" customFormat="1" ht="20.25" customHeight="1">
      <c r="C25" s="159" t="s">
        <v>254</v>
      </c>
      <c r="D25" s="159" t="s">
        <v>254</v>
      </c>
      <c r="E25" s="159" t="s">
        <v>254</v>
      </c>
      <c r="F25" s="159" t="s">
        <v>253</v>
      </c>
    </row>
    <row r="26" spans="1:6" s="43" customFormat="1" ht="12.75">
      <c r="A26" s="160" t="s">
        <v>86</v>
      </c>
      <c r="B26" s="173" t="s">
        <v>7</v>
      </c>
      <c r="C26" s="176">
        <f>C27+C28+C29</f>
        <v>13518045.850000001</v>
      </c>
      <c r="D26" s="176">
        <f>D27+D28+D29</f>
        <v>14287136.96</v>
      </c>
      <c r="E26" s="176">
        <f>E27+E28+E29</f>
        <v>15794139.53</v>
      </c>
      <c r="F26" s="176">
        <f>F27+F28+F29</f>
        <v>17385600</v>
      </c>
    </row>
    <row r="27" spans="1:6" s="43" customFormat="1" ht="12.75">
      <c r="A27" s="161" t="s">
        <v>87</v>
      </c>
      <c r="B27" s="171" t="s">
        <v>88</v>
      </c>
      <c r="C27" s="178">
        <v>6078435.53</v>
      </c>
      <c r="D27" s="178">
        <v>7210147.66</v>
      </c>
      <c r="E27" s="178">
        <v>8025902.31</v>
      </c>
      <c r="F27" s="178">
        <v>8491370</v>
      </c>
    </row>
    <row r="28" spans="1:6" ht="12.75">
      <c r="A28" s="162" t="s">
        <v>89</v>
      </c>
      <c r="B28" s="171" t="s">
        <v>259</v>
      </c>
      <c r="C28" s="178">
        <v>57110.12</v>
      </c>
      <c r="D28" s="178">
        <v>98741.9</v>
      </c>
      <c r="E28" s="178">
        <v>43596.12</v>
      </c>
      <c r="F28" s="178">
        <v>36000</v>
      </c>
    </row>
    <row r="29" spans="1:6" s="43" customFormat="1" ht="12.75">
      <c r="A29" s="161" t="s">
        <v>91</v>
      </c>
      <c r="B29" s="171" t="s">
        <v>92</v>
      </c>
      <c r="C29" s="178">
        <v>7382500.2</v>
      </c>
      <c r="D29" s="178">
        <v>6978247.4</v>
      </c>
      <c r="E29" s="178">
        <v>7724641.1</v>
      </c>
      <c r="F29" s="178">
        <v>8858230</v>
      </c>
    </row>
    <row r="30" spans="1:6" s="43" customFormat="1" ht="12.75">
      <c r="A30" s="161" t="s">
        <v>93</v>
      </c>
      <c r="B30" s="174" t="s">
        <v>8</v>
      </c>
      <c r="C30" s="176">
        <f>C31+C32+C35</f>
        <v>3006565.7600000002</v>
      </c>
      <c r="D30" s="176">
        <f>D31+D32+D35</f>
        <v>1111714.01</v>
      </c>
      <c r="E30" s="176">
        <f>E31+E32+E35</f>
        <v>1826823.59</v>
      </c>
      <c r="F30" s="176">
        <f>F31+F32+F35</f>
        <v>3340400</v>
      </c>
    </row>
    <row r="31" spans="1:6" s="43" customFormat="1" ht="12.75">
      <c r="A31" s="161" t="s">
        <v>94</v>
      </c>
      <c r="B31" s="171" t="s">
        <v>9</v>
      </c>
      <c r="C31" s="178">
        <v>2962489.43</v>
      </c>
      <c r="D31" s="178">
        <v>763635.95</v>
      </c>
      <c r="E31" s="178">
        <v>1287165.51</v>
      </c>
      <c r="F31" s="178">
        <v>2991300</v>
      </c>
    </row>
    <row r="32" spans="1:6" s="43" customFormat="1" ht="12.75">
      <c r="A32" s="161" t="s">
        <v>95</v>
      </c>
      <c r="B32" s="171" t="s">
        <v>10</v>
      </c>
      <c r="C32" s="176">
        <f>C33+C34</f>
        <v>0</v>
      </c>
      <c r="D32" s="176">
        <f>D33+D34</f>
        <v>0</v>
      </c>
      <c r="E32" s="176">
        <f>E33+E34</f>
        <v>165800</v>
      </c>
      <c r="F32" s="176">
        <f>F33+F34</f>
        <v>266100</v>
      </c>
    </row>
    <row r="33" spans="1:6" ht="12.75">
      <c r="A33" s="162" t="s">
        <v>96</v>
      </c>
      <c r="B33" s="171" t="s">
        <v>97</v>
      </c>
      <c r="C33" s="178">
        <v>0</v>
      </c>
      <c r="D33" s="178">
        <v>0</v>
      </c>
      <c r="E33" s="178">
        <v>0</v>
      </c>
      <c r="F33" s="178">
        <v>0</v>
      </c>
    </row>
    <row r="34" spans="1:6" ht="12.75">
      <c r="A34" s="162" t="s">
        <v>250</v>
      </c>
      <c r="B34" s="171" t="s">
        <v>251</v>
      </c>
      <c r="C34" s="178">
        <v>0</v>
      </c>
      <c r="D34" s="178">
        <v>0</v>
      </c>
      <c r="E34" s="178">
        <v>165800</v>
      </c>
      <c r="F34" s="178">
        <v>266100</v>
      </c>
    </row>
    <row r="35" spans="1:6" s="43" customFormat="1" ht="12.75">
      <c r="A35" s="161" t="s">
        <v>98</v>
      </c>
      <c r="B35" s="171" t="s">
        <v>99</v>
      </c>
      <c r="C35" s="178">
        <v>44076.33</v>
      </c>
      <c r="D35" s="178">
        <v>348078.06</v>
      </c>
      <c r="E35" s="178">
        <v>373858.08</v>
      </c>
      <c r="F35" s="178">
        <v>83000</v>
      </c>
    </row>
    <row r="36" spans="1:6" s="43" customFormat="1" ht="12.75">
      <c r="A36" s="161"/>
      <c r="B36" s="171"/>
      <c r="C36" s="179"/>
      <c r="D36" s="179"/>
      <c r="E36" s="179"/>
      <c r="F36" s="179"/>
    </row>
    <row r="37" spans="1:6" s="43" customFormat="1" ht="12.75">
      <c r="A37" s="161" t="s">
        <v>261</v>
      </c>
      <c r="B37" s="171" t="s">
        <v>262</v>
      </c>
      <c r="C37" s="271"/>
      <c r="D37" s="271"/>
      <c r="E37" s="271"/>
      <c r="F37" s="176">
        <f>F22-F26-F30</f>
        <v>184000</v>
      </c>
    </row>
    <row r="38" spans="1:6" ht="12.75">
      <c r="A38" s="162"/>
      <c r="B38" s="171"/>
      <c r="C38" s="179"/>
      <c r="D38" s="179"/>
      <c r="E38" s="179"/>
      <c r="F38" s="179"/>
    </row>
    <row r="39" spans="1:6" s="43" customFormat="1" ht="12.75">
      <c r="A39" s="165"/>
      <c r="B39" s="174" t="s">
        <v>100</v>
      </c>
      <c r="C39" s="176">
        <f>C26+C30+C37</f>
        <v>16524611.610000001</v>
      </c>
      <c r="D39" s="176">
        <f>D26+D30+D37</f>
        <v>15398850.97</v>
      </c>
      <c r="E39" s="176">
        <f>E26+E30+E37</f>
        <v>17620963.12</v>
      </c>
      <c r="F39" s="176">
        <f>F26+F30+F37</f>
        <v>20910000</v>
      </c>
    </row>
    <row r="40" spans="1:6" ht="13.5" thickBot="1">
      <c r="A40" s="162"/>
      <c r="B40" s="171"/>
      <c r="C40" s="179"/>
      <c r="D40" s="179"/>
      <c r="E40" s="179"/>
      <c r="F40" s="179"/>
    </row>
    <row r="41" spans="1:6" ht="13.5" thickTop="1">
      <c r="A41" s="162"/>
      <c r="B41" s="272" t="s">
        <v>277</v>
      </c>
      <c r="C41" s="47">
        <f>C24</f>
        <v>2008</v>
      </c>
      <c r="D41" s="47">
        <f>D24</f>
        <v>2009</v>
      </c>
      <c r="E41" s="47">
        <f>E24</f>
        <v>2010</v>
      </c>
      <c r="F41" s="48">
        <f>F24</f>
        <v>2011</v>
      </c>
    </row>
    <row r="42" spans="1:6" s="43" customFormat="1" ht="12.75">
      <c r="A42" s="165"/>
      <c r="B42" s="171" t="s">
        <v>301</v>
      </c>
      <c r="C42" s="177">
        <v>17600000</v>
      </c>
      <c r="D42" s="177">
        <v>18400000</v>
      </c>
      <c r="E42" s="177">
        <v>16638190</v>
      </c>
      <c r="F42" s="177">
        <v>20910000</v>
      </c>
    </row>
    <row r="43" spans="1:6" ht="12.75">
      <c r="A43" s="162"/>
      <c r="B43" s="171" t="s">
        <v>217</v>
      </c>
      <c r="C43" s="180">
        <v>197000</v>
      </c>
      <c r="D43" s="180">
        <v>247000</v>
      </c>
      <c r="E43" s="180">
        <v>117590</v>
      </c>
      <c r="F43" s="180">
        <v>41590</v>
      </c>
    </row>
    <row r="44" spans="1:6" ht="12.75">
      <c r="A44" s="162"/>
      <c r="B44" s="171" t="s">
        <v>218</v>
      </c>
      <c r="C44" s="180">
        <v>900000</v>
      </c>
      <c r="D44" s="180">
        <v>0</v>
      </c>
      <c r="E44" s="180">
        <v>0</v>
      </c>
      <c r="F44" s="180">
        <v>1400000</v>
      </c>
    </row>
    <row r="45" spans="1:6" ht="12.75">
      <c r="A45" s="162"/>
      <c r="B45" s="171" t="s">
        <v>219</v>
      </c>
      <c r="C45" s="180">
        <v>150000</v>
      </c>
      <c r="D45" s="180">
        <v>235000</v>
      </c>
      <c r="E45" s="180">
        <v>0</v>
      </c>
      <c r="F45" s="180">
        <v>0</v>
      </c>
    </row>
    <row r="46" spans="1:6" ht="12.75">
      <c r="A46" s="162"/>
      <c r="B46" s="171" t="s">
        <v>224</v>
      </c>
      <c r="C46" s="180">
        <v>150000</v>
      </c>
      <c r="D46" s="180">
        <v>125000</v>
      </c>
      <c r="E46" s="180">
        <v>75500</v>
      </c>
      <c r="F46" s="180">
        <v>110000</v>
      </c>
    </row>
    <row r="47" spans="1:6" s="43" customFormat="1" ht="12.75">
      <c r="A47" s="165"/>
      <c r="B47" s="171" t="s">
        <v>220</v>
      </c>
      <c r="C47" s="177">
        <v>17600000</v>
      </c>
      <c r="D47" s="177">
        <v>18400000</v>
      </c>
      <c r="E47" s="177">
        <v>16638190</v>
      </c>
      <c r="F47" s="177">
        <v>20910000</v>
      </c>
    </row>
    <row r="48" spans="1:6" ht="12.75">
      <c r="A48" s="162"/>
      <c r="B48" s="171" t="s">
        <v>90</v>
      </c>
      <c r="C48" s="180">
        <v>50000</v>
      </c>
      <c r="D48" s="180">
        <v>50000</v>
      </c>
      <c r="E48" s="180">
        <v>78000</v>
      </c>
      <c r="F48" s="180">
        <v>360000</v>
      </c>
    </row>
    <row r="49" spans="1:6" ht="12.75">
      <c r="A49" s="162"/>
      <c r="B49" s="171" t="s">
        <v>221</v>
      </c>
      <c r="C49" s="180">
        <v>150000</v>
      </c>
      <c r="D49" s="180">
        <v>400000</v>
      </c>
      <c r="E49" s="180">
        <v>360000</v>
      </c>
      <c r="F49" s="180">
        <v>83000</v>
      </c>
    </row>
    <row r="50" spans="1:6" ht="12.75">
      <c r="A50" s="162"/>
      <c r="B50" s="171" t="s">
        <v>222</v>
      </c>
      <c r="C50" s="180">
        <v>0</v>
      </c>
      <c r="D50" s="180">
        <v>0</v>
      </c>
      <c r="E50" s="180">
        <v>0</v>
      </c>
      <c r="F50" s="180">
        <v>0</v>
      </c>
    </row>
    <row r="51" spans="1:2" ht="12.75">
      <c r="A51" s="175"/>
      <c r="B51" s="172"/>
    </row>
  </sheetData>
  <printOptions/>
  <pageMargins left="0.75" right="0.75" top="1" bottom="1" header="0.492125985" footer="0.492125985"/>
  <pageSetup horizontalDpi="300" verticalDpi="3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H39"/>
  <sheetViews>
    <sheetView showGridLines="0" zoomScale="90" zoomScaleNormal="90" workbookViewId="0" topLeftCell="A2">
      <selection activeCell="E10" sqref="E10"/>
    </sheetView>
  </sheetViews>
  <sheetFormatPr defaultColWidth="9.14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5" t="s">
        <v>322</v>
      </c>
    </row>
    <row r="2" spans="1:4" ht="28.5" customHeight="1">
      <c r="A2"/>
      <c r="B2" s="53" t="s">
        <v>227</v>
      </c>
      <c r="D2" s="233"/>
    </row>
    <row r="3" spans="2:4" ht="15.75">
      <c r="B3" s="53"/>
      <c r="D3" s="233"/>
    </row>
    <row r="4" spans="2:4" ht="16.5" thickBot="1">
      <c r="B4" s="158"/>
      <c r="D4" s="233"/>
    </row>
    <row r="5" spans="2:8" ht="16.5" thickTop="1">
      <c r="B5" s="340"/>
      <c r="C5" s="234">
        <f>DADOS!$E$32-3</f>
        <v>2009</v>
      </c>
      <c r="D5" s="234">
        <f>DADOS!$E$32-2</f>
        <v>2010</v>
      </c>
      <c r="E5" s="234">
        <f>DADOS!$E$32-1</f>
        <v>2011</v>
      </c>
      <c r="F5" s="234">
        <f>DADOS!$E$32-0</f>
        <v>2012</v>
      </c>
      <c r="G5" s="234">
        <f>DADOS!$E$32+1</f>
        <v>2013</v>
      </c>
      <c r="H5" s="234">
        <f>DADOS!$E$32+2</f>
        <v>2014</v>
      </c>
    </row>
    <row r="6" spans="2:8" ht="15.75">
      <c r="B6" s="341"/>
      <c r="C6" s="235" t="s">
        <v>255</v>
      </c>
      <c r="D6" s="236" t="s">
        <v>255</v>
      </c>
      <c r="E6" s="236" t="s">
        <v>256</v>
      </c>
      <c r="F6" s="236" t="s">
        <v>19</v>
      </c>
      <c r="G6" s="236" t="s">
        <v>19</v>
      </c>
      <c r="H6" s="236" t="s">
        <v>19</v>
      </c>
    </row>
    <row r="7" spans="2:8" ht="22.5" customHeight="1">
      <c r="B7" s="237" t="s">
        <v>271</v>
      </c>
      <c r="C7" s="123">
        <v>465905</v>
      </c>
      <c r="D7" s="123">
        <v>364716</v>
      </c>
      <c r="E7" s="123">
        <v>1707114</v>
      </c>
      <c r="F7" s="238">
        <f>E7-Projeções!G35-Projeções!G42</f>
        <v>1597114</v>
      </c>
      <c r="G7" s="238">
        <f>F7+Projeções!H21-Projeções!H35-Projeções!H42</f>
        <v>1399114</v>
      </c>
      <c r="H7" s="238">
        <f>G7+Projeções!I21-Projeções!I35-Projeções!I42</f>
        <v>1181314</v>
      </c>
    </row>
    <row r="8" spans="2:8" ht="15">
      <c r="B8" s="51" t="s">
        <v>278</v>
      </c>
      <c r="C8" s="122">
        <v>775534</v>
      </c>
      <c r="D8" s="122">
        <v>823168</v>
      </c>
      <c r="E8" s="122">
        <v>500000</v>
      </c>
      <c r="F8" s="231">
        <f>E8+Projeções!G28+Projeções!G43-Projeções!G44</f>
        <v>713260</v>
      </c>
      <c r="G8" s="231">
        <f>F8+Projeções!H28+Projeções!H43-Projeções!H44</f>
        <v>1957259.9999999963</v>
      </c>
      <c r="H8" s="231">
        <f>G8+Projeções!I28+Projeções!I43-Projeções!I44</f>
        <v>2225659.9999999963</v>
      </c>
    </row>
    <row r="9" spans="2:8" ht="22.5" customHeight="1">
      <c r="B9" s="60" t="s">
        <v>128</v>
      </c>
      <c r="C9" s="231">
        <f aca="true" t="shared" si="0" ref="C9:H9">C7-C8</f>
        <v>-309629</v>
      </c>
      <c r="D9" s="231">
        <f t="shared" si="0"/>
        <v>-458452</v>
      </c>
      <c r="E9" s="231">
        <f t="shared" si="0"/>
        <v>1207114</v>
      </c>
      <c r="F9" s="231">
        <f t="shared" si="0"/>
        <v>883854</v>
      </c>
      <c r="G9" s="231">
        <f t="shared" si="0"/>
        <v>-558145.9999999963</v>
      </c>
      <c r="H9" s="231">
        <f t="shared" si="0"/>
        <v>-1044345.9999999963</v>
      </c>
    </row>
    <row r="10" spans="1:8" s="121" customFormat="1" ht="21.75" customHeight="1" thickBot="1">
      <c r="A10" s="239"/>
      <c r="B10" s="240" t="s">
        <v>49</v>
      </c>
      <c r="C10" s="232"/>
      <c r="D10" s="232">
        <f>D9-C9</f>
        <v>-148823</v>
      </c>
      <c r="E10" s="232">
        <f>E9-D9</f>
        <v>1665566</v>
      </c>
      <c r="F10" s="232">
        <f>F9-E9</f>
        <v>-323260</v>
      </c>
      <c r="G10" s="232">
        <f>G9-F9</f>
        <v>-1441999.9999999963</v>
      </c>
      <c r="H10" s="232">
        <f>H9-G9</f>
        <v>-486200</v>
      </c>
    </row>
    <row r="11" spans="2:4" s="8" customFormat="1" ht="16.5" thickTop="1">
      <c r="B11" s="7"/>
      <c r="D11" s="241"/>
    </row>
    <row r="12" spans="1:8" ht="16.5" thickBot="1">
      <c r="A12" s="2"/>
      <c r="B12" s="158" t="s">
        <v>50</v>
      </c>
      <c r="C12" s="5"/>
      <c r="D12" s="242"/>
      <c r="E12" s="11"/>
      <c r="F12" s="11"/>
      <c r="G12" s="3"/>
      <c r="H12" s="243" t="s">
        <v>11</v>
      </c>
    </row>
    <row r="13" spans="2:8" ht="16.5" thickTop="1">
      <c r="B13" s="340" t="s">
        <v>325</v>
      </c>
      <c r="C13" s="234">
        <f aca="true" t="shared" si="1" ref="C13:H13">C5</f>
        <v>2009</v>
      </c>
      <c r="D13" s="234">
        <f t="shared" si="1"/>
        <v>2010</v>
      </c>
      <c r="E13" s="234">
        <f t="shared" si="1"/>
        <v>2011</v>
      </c>
      <c r="F13" s="234">
        <f t="shared" si="1"/>
        <v>2012</v>
      </c>
      <c r="G13" s="234">
        <f t="shared" si="1"/>
        <v>2013</v>
      </c>
      <c r="H13" s="234">
        <f t="shared" si="1"/>
        <v>2014</v>
      </c>
    </row>
    <row r="14" spans="2:8" ht="15.75">
      <c r="B14" s="341"/>
      <c r="C14" s="235" t="s">
        <v>18</v>
      </c>
      <c r="D14" s="236" t="s">
        <v>18</v>
      </c>
      <c r="E14" s="236" t="s">
        <v>256</v>
      </c>
      <c r="F14" s="236" t="s">
        <v>19</v>
      </c>
      <c r="G14" s="236" t="s">
        <v>19</v>
      </c>
      <c r="H14" s="244" t="s">
        <v>19</v>
      </c>
    </row>
    <row r="15" spans="2:8" s="41" customFormat="1" ht="15.75">
      <c r="B15" s="245" t="s">
        <v>53</v>
      </c>
      <c r="C15" s="246">
        <f>Plano!D15</f>
        <v>0</v>
      </c>
      <c r="D15" s="246">
        <f>Plano!E15</f>
        <v>0</v>
      </c>
      <c r="E15" s="246">
        <f>Plano!F15</f>
        <v>1400000</v>
      </c>
      <c r="F15" s="247">
        <v>0</v>
      </c>
      <c r="G15" s="247">
        <v>0</v>
      </c>
      <c r="H15" s="247">
        <v>0</v>
      </c>
    </row>
    <row r="16" spans="2:8" ht="15.75">
      <c r="B16" s="60" t="s">
        <v>51</v>
      </c>
      <c r="C16" s="248">
        <f>Plano!D28</f>
        <v>98741.9</v>
      </c>
      <c r="D16" s="248">
        <f>Plano!E28</f>
        <v>43596.12</v>
      </c>
      <c r="E16" s="248">
        <f>Plano!F28</f>
        <v>36000</v>
      </c>
      <c r="F16" s="248">
        <f>Projeções!G35</f>
        <v>29000</v>
      </c>
      <c r="G16" s="248">
        <f>Projeções!H35</f>
        <v>48000</v>
      </c>
      <c r="H16" s="248">
        <f>Projeções!I35</f>
        <v>52800</v>
      </c>
    </row>
    <row r="17" spans="2:8" ht="15.75">
      <c r="B17" s="60" t="s">
        <v>52</v>
      </c>
      <c r="C17" s="248">
        <f>Plano!D35</f>
        <v>348078.06</v>
      </c>
      <c r="D17" s="248">
        <f>Plano!E35</f>
        <v>373858.08</v>
      </c>
      <c r="E17" s="248">
        <f>Plano!F35</f>
        <v>83000</v>
      </c>
      <c r="F17" s="248">
        <f>Projeções!G42</f>
        <v>81000</v>
      </c>
      <c r="G17" s="248">
        <f>Projeções!H42</f>
        <v>150000</v>
      </c>
      <c r="H17" s="248">
        <f>Projeções!I42</f>
        <v>165000</v>
      </c>
    </row>
    <row r="18" spans="2:8" ht="15.75" customHeight="1" hidden="1">
      <c r="B18" s="51" t="s">
        <v>43</v>
      </c>
      <c r="C18" s="9"/>
      <c r="D18" s="249"/>
      <c r="E18" s="9"/>
      <c r="F18" s="9"/>
      <c r="G18" s="9"/>
      <c r="H18" s="10"/>
    </row>
    <row r="19" spans="2:8" ht="15.75" thickBot="1">
      <c r="B19" s="61"/>
      <c r="C19" s="12"/>
      <c r="D19" s="250"/>
      <c r="E19" s="13"/>
      <c r="F19" s="13"/>
      <c r="G19" s="13"/>
      <c r="H19" s="14"/>
    </row>
    <row r="20" spans="2:4" ht="16.5" thickTop="1">
      <c r="B20" s="158"/>
      <c r="D20" s="233"/>
    </row>
    <row r="21" spans="2:4" ht="15.75">
      <c r="B21" s="158" t="s">
        <v>276</v>
      </c>
      <c r="D21" s="233"/>
    </row>
    <row r="22" spans="2:4" ht="15.75">
      <c r="B22" s="158" t="s">
        <v>274</v>
      </c>
      <c r="D22" s="233"/>
    </row>
    <row r="23" spans="2:4" ht="15.75">
      <c r="B23" s="158" t="s">
        <v>275</v>
      </c>
      <c r="D23" s="233"/>
    </row>
    <row r="24" spans="2:4" ht="15.75">
      <c r="B24" s="158" t="s">
        <v>330</v>
      </c>
      <c r="D24" s="233"/>
    </row>
    <row r="25" spans="2:4" ht="15.75">
      <c r="B25" s="158" t="s">
        <v>329</v>
      </c>
      <c r="D25" s="233"/>
    </row>
    <row r="26" spans="2:5" ht="15.75">
      <c r="B26" s="328"/>
      <c r="C26" s="329"/>
      <c r="D26" s="330"/>
      <c r="E26" s="330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mergeCells count="2">
    <mergeCell ref="B5:B6"/>
    <mergeCell ref="B13:B14"/>
  </mergeCells>
  <hyperlinks>
    <hyperlink ref="B1" location="DADOS!A1" display="VOLTAR"/>
  </hyperlinks>
  <printOptions/>
  <pageMargins left="0.75" right="0.75" top="1" bottom="1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J96"/>
  <sheetViews>
    <sheetView zoomScale="75" zoomScaleNormal="75" zoomScaleSheetLayoutView="100" workbookViewId="0" topLeftCell="D1">
      <selection activeCell="G38" sqref="G38"/>
    </sheetView>
  </sheetViews>
  <sheetFormatPr defaultColWidth="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81" t="s">
        <v>46</v>
      </c>
      <c r="B2" s="181"/>
      <c r="C2" s="182"/>
      <c r="D2" s="182"/>
      <c r="E2" s="182"/>
      <c r="F2" s="183"/>
      <c r="G2" s="183"/>
      <c r="H2" s="183"/>
      <c r="I2" s="183"/>
      <c r="J2" s="19"/>
    </row>
    <row r="3" spans="1:10" s="15" customFormat="1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21"/>
    </row>
    <row r="4" spans="1:10" s="15" customFormat="1" ht="15.75" hidden="1">
      <c r="A4" s="186"/>
      <c r="B4" s="187"/>
      <c r="C4" s="187"/>
      <c r="D4" s="187"/>
      <c r="E4" s="187"/>
      <c r="F4" s="187"/>
      <c r="G4" s="187"/>
      <c r="H4" s="187"/>
      <c r="I4" s="187"/>
      <c r="J4" s="20"/>
    </row>
    <row r="5" spans="1:10" s="15" customFormat="1" ht="16.5" thickBot="1">
      <c r="A5" s="188"/>
      <c r="B5" s="189"/>
      <c r="C5" s="189"/>
      <c r="D5" s="189"/>
      <c r="E5" s="189"/>
      <c r="F5" s="189"/>
      <c r="G5" s="189"/>
      <c r="H5" s="189"/>
      <c r="I5" s="190" t="s">
        <v>103</v>
      </c>
      <c r="J5" s="34"/>
    </row>
    <row r="6" spans="1:10" s="6" customFormat="1" ht="16.5" thickTop="1">
      <c r="A6" s="218" t="s">
        <v>0</v>
      </c>
      <c r="B6" s="219" t="s">
        <v>1</v>
      </c>
      <c r="C6" s="216" t="s">
        <v>15</v>
      </c>
      <c r="D6" s="191" t="s">
        <v>15</v>
      </c>
      <c r="E6" s="191" t="s">
        <v>15</v>
      </c>
      <c r="F6" s="191" t="s">
        <v>257</v>
      </c>
      <c r="G6" s="191" t="s">
        <v>20</v>
      </c>
      <c r="H6" s="192" t="s">
        <v>20</v>
      </c>
      <c r="I6" s="193" t="s">
        <v>20</v>
      </c>
      <c r="J6" s="37" t="s">
        <v>20</v>
      </c>
    </row>
    <row r="7" spans="1:10" s="6" customFormat="1" ht="27.75" customHeight="1">
      <c r="A7" s="220"/>
      <c r="B7" s="221" t="s">
        <v>14</v>
      </c>
      <c r="C7" s="209">
        <f>Plano!C1</f>
        <v>2008</v>
      </c>
      <c r="D7" s="194">
        <f>Plano!D1</f>
        <v>2009</v>
      </c>
      <c r="E7" s="194">
        <f>Plano!E1</f>
        <v>2010</v>
      </c>
      <c r="F7" s="194">
        <f>Plano!F1</f>
        <v>2011</v>
      </c>
      <c r="G7" s="194">
        <f>F7+1</f>
        <v>2012</v>
      </c>
      <c r="H7" s="195">
        <f>G7+1</f>
        <v>2013</v>
      </c>
      <c r="I7" s="196">
        <f>H7+1</f>
        <v>2014</v>
      </c>
      <c r="J7" s="38">
        <v>2005</v>
      </c>
    </row>
    <row r="8" spans="1:10" s="22" customFormat="1" ht="17.25" customHeight="1">
      <c r="A8" s="222"/>
      <c r="B8" s="223"/>
      <c r="C8" s="217"/>
      <c r="D8" s="197"/>
      <c r="E8" s="197"/>
      <c r="F8" s="197"/>
      <c r="G8" s="197"/>
      <c r="H8" s="198"/>
      <c r="I8" s="199"/>
      <c r="J8" s="39"/>
    </row>
    <row r="9" spans="1:9" s="45" customFormat="1" ht="12.75">
      <c r="A9" s="165" t="s">
        <v>57</v>
      </c>
      <c r="B9" s="166" t="s">
        <v>2</v>
      </c>
      <c r="C9" s="228">
        <f>Plano!C3</f>
        <v>16519068.49</v>
      </c>
      <c r="D9" s="228">
        <f>Plano!D3</f>
        <v>17222179.46</v>
      </c>
      <c r="E9" s="228">
        <f>Plano!E3</f>
        <v>19141887.34</v>
      </c>
      <c r="F9" s="228">
        <f>Plano!F3</f>
        <v>21300800</v>
      </c>
      <c r="G9" s="228">
        <f>G10+G11+G12+G15+G16+G17+G18+G19</f>
        <v>24302000</v>
      </c>
      <c r="H9" s="228">
        <f>H10+H11+H12+H15+H16+H17+H18+H19</f>
        <v>27478610</v>
      </c>
      <c r="I9" s="228">
        <f>I10+I11+I12+I15+I16+I17+I18+I19</f>
        <v>29126471</v>
      </c>
    </row>
    <row r="10" spans="1:9" s="45" customFormat="1" ht="12.75">
      <c r="A10" s="165" t="s">
        <v>58</v>
      </c>
      <c r="B10" s="166" t="s">
        <v>59</v>
      </c>
      <c r="C10" s="274">
        <f>Plano!C4</f>
        <v>820035.4</v>
      </c>
      <c r="D10" s="274">
        <f>Plano!D4</f>
        <v>881356.56</v>
      </c>
      <c r="E10" s="274">
        <f>Plano!E4</f>
        <v>881935</v>
      </c>
      <c r="F10" s="274">
        <f>Plano!F4</f>
        <v>1204500</v>
      </c>
      <c r="G10" s="274">
        <v>1201600</v>
      </c>
      <c r="H10" s="274">
        <v>1312600</v>
      </c>
      <c r="I10" s="274">
        <v>1443860</v>
      </c>
    </row>
    <row r="11" spans="1:9" s="45" customFormat="1" ht="12" customHeight="1">
      <c r="A11" s="165" t="s">
        <v>60</v>
      </c>
      <c r="B11" s="166" t="s">
        <v>61</v>
      </c>
      <c r="C11" s="274">
        <f>Plano!C5</f>
        <v>85148.77</v>
      </c>
      <c r="D11" s="274">
        <f>Plano!D5</f>
        <v>79231.15</v>
      </c>
      <c r="E11" s="274">
        <f>Plano!E5</f>
        <v>98742.54</v>
      </c>
      <c r="F11" s="274">
        <f>Plano!F5</f>
        <v>102000</v>
      </c>
      <c r="G11" s="274">
        <v>112000</v>
      </c>
      <c r="H11" s="274">
        <v>123000</v>
      </c>
      <c r="I11" s="274">
        <v>135300</v>
      </c>
    </row>
    <row r="12" spans="1:9" s="45" customFormat="1" ht="12.75">
      <c r="A12" s="165" t="s">
        <v>62</v>
      </c>
      <c r="B12" s="166" t="s">
        <v>3</v>
      </c>
      <c r="C12" s="228">
        <f>Plano!C6</f>
        <v>104037.54</v>
      </c>
      <c r="D12" s="228">
        <f>Plano!D6</f>
        <v>119624.73999999999</v>
      </c>
      <c r="E12" s="228">
        <f>Plano!E6</f>
        <v>105164.56</v>
      </c>
      <c r="F12" s="228">
        <f>Plano!F6</f>
        <v>62590</v>
      </c>
      <c r="G12" s="228">
        <f>G13+G14</f>
        <v>155300</v>
      </c>
      <c r="H12" s="228">
        <f>H13+H14</f>
        <v>57620</v>
      </c>
      <c r="I12" s="228">
        <f>I13+I14</f>
        <v>63382</v>
      </c>
    </row>
    <row r="13" spans="1:9" ht="12.75">
      <c r="A13" s="224" t="s">
        <v>63</v>
      </c>
      <c r="B13" s="225" t="s">
        <v>247</v>
      </c>
      <c r="C13" s="274">
        <f>Plano!C7</f>
        <v>89751.92</v>
      </c>
      <c r="D13" s="274">
        <f>Plano!D7</f>
        <v>95935.39</v>
      </c>
      <c r="E13" s="274">
        <f>Plano!E7</f>
        <v>95789.53</v>
      </c>
      <c r="F13" s="274">
        <f>Plano!F7</f>
        <v>41590</v>
      </c>
      <c r="G13" s="274">
        <v>133300</v>
      </c>
      <c r="H13" s="274">
        <v>34620</v>
      </c>
      <c r="I13" s="274">
        <v>38082</v>
      </c>
    </row>
    <row r="14" spans="1:9" ht="12.75">
      <c r="A14" s="224" t="s">
        <v>64</v>
      </c>
      <c r="B14" s="225" t="s">
        <v>65</v>
      </c>
      <c r="C14" s="274">
        <f>Plano!C8</f>
        <v>14285.62</v>
      </c>
      <c r="D14" s="274">
        <f>Plano!D8</f>
        <v>23689.35</v>
      </c>
      <c r="E14" s="274">
        <f>Plano!E8</f>
        <v>9375.03</v>
      </c>
      <c r="F14" s="274">
        <f>Plano!F8</f>
        <v>21000</v>
      </c>
      <c r="G14" s="274">
        <v>22000</v>
      </c>
      <c r="H14" s="274">
        <v>23000</v>
      </c>
      <c r="I14" s="274">
        <v>25300</v>
      </c>
    </row>
    <row r="15" spans="1:9" ht="12.75">
      <c r="A15" s="165" t="s">
        <v>66</v>
      </c>
      <c r="B15" s="166" t="s">
        <v>67</v>
      </c>
      <c r="C15" s="274">
        <f>Plano!C9</f>
        <v>5413.2</v>
      </c>
      <c r="D15" s="274">
        <f>Plano!D9</f>
        <v>0</v>
      </c>
      <c r="E15" s="274">
        <f>Plano!E9</f>
        <v>0</v>
      </c>
      <c r="F15" s="274">
        <f>Plano!F9</f>
        <v>3000</v>
      </c>
      <c r="G15" s="274">
        <v>3000</v>
      </c>
      <c r="H15" s="274">
        <v>3000</v>
      </c>
      <c r="I15" s="274">
        <v>3300</v>
      </c>
    </row>
    <row r="16" spans="1:9" ht="12.75">
      <c r="A16" s="165" t="s">
        <v>68</v>
      </c>
      <c r="B16" s="166" t="s">
        <v>4</v>
      </c>
      <c r="C16" s="274">
        <f>Plano!C10</f>
        <v>0</v>
      </c>
      <c r="D16" s="274">
        <f>Plano!D10</f>
        <v>0</v>
      </c>
      <c r="E16" s="274">
        <f>Plano!E10</f>
        <v>0</v>
      </c>
      <c r="F16" s="274">
        <f>Plano!F10</f>
        <v>0</v>
      </c>
      <c r="G16" s="274">
        <f>F16*(1+Parâmetros!E14)*(1+Parâmetros!E15)</f>
        <v>0</v>
      </c>
      <c r="H16" s="274">
        <f>G16*(1+Parâmetros!F14)*(1+Parâmetros!F15)</f>
        <v>0</v>
      </c>
      <c r="I16" s="274">
        <f>H16*(1+Parâmetros!G14)*(1+Parâmetros!G15)</f>
        <v>0</v>
      </c>
    </row>
    <row r="17" spans="1:9" ht="12.75">
      <c r="A17" s="165" t="s">
        <v>69</v>
      </c>
      <c r="B17" s="166" t="s">
        <v>70</v>
      </c>
      <c r="C17" s="274">
        <f>Plano!C11</f>
        <v>8908.16</v>
      </c>
      <c r="D17" s="274">
        <f>Plano!D11</f>
        <v>13842.5</v>
      </c>
      <c r="E17" s="274">
        <f>Plano!E11</f>
        <v>1846581.07</v>
      </c>
      <c r="F17" s="274">
        <f>Plano!F11</f>
        <v>90900</v>
      </c>
      <c r="G17" s="274">
        <v>163500</v>
      </c>
      <c r="H17" s="274">
        <v>107600</v>
      </c>
      <c r="I17" s="274">
        <v>118360</v>
      </c>
    </row>
    <row r="18" spans="1:9" s="45" customFormat="1" ht="12.75">
      <c r="A18" s="165" t="s">
        <v>71</v>
      </c>
      <c r="B18" s="166" t="s">
        <v>72</v>
      </c>
      <c r="C18" s="274">
        <f>Plano!C12</f>
        <v>15384469.67</v>
      </c>
      <c r="D18" s="274">
        <f>Plano!D12</f>
        <v>15978698.12</v>
      </c>
      <c r="E18" s="274">
        <f>Plano!E12</f>
        <v>16021961.19</v>
      </c>
      <c r="F18" s="274">
        <f>Plano!F12</f>
        <v>19689500</v>
      </c>
      <c r="G18" s="274">
        <v>22459700</v>
      </c>
      <c r="H18" s="274">
        <v>25755400</v>
      </c>
      <c r="I18" s="274">
        <v>27230940</v>
      </c>
    </row>
    <row r="19" spans="1:9" s="45" customFormat="1" ht="12.75">
      <c r="A19" s="165" t="s">
        <v>73</v>
      </c>
      <c r="B19" s="166" t="s">
        <v>5</v>
      </c>
      <c r="C19" s="274">
        <f>Plano!C13</f>
        <v>111055.75</v>
      </c>
      <c r="D19" s="274">
        <f>Plano!D13</f>
        <v>149426.39</v>
      </c>
      <c r="E19" s="274">
        <f>Plano!E13</f>
        <v>187502.98</v>
      </c>
      <c r="F19" s="274">
        <f>Plano!F13</f>
        <v>148310</v>
      </c>
      <c r="G19" s="274">
        <v>206900</v>
      </c>
      <c r="H19" s="274">
        <v>119390</v>
      </c>
      <c r="I19" s="274">
        <v>131329</v>
      </c>
    </row>
    <row r="20" spans="1:9" s="45" customFormat="1" ht="12.75">
      <c r="A20" s="165" t="s">
        <v>74</v>
      </c>
      <c r="B20" s="166" t="s">
        <v>75</v>
      </c>
      <c r="C20" s="228">
        <f>Plano!C14</f>
        <v>1524328.8599999999</v>
      </c>
      <c r="D20" s="228">
        <f>Plano!D14</f>
        <v>790145.16</v>
      </c>
      <c r="E20" s="228">
        <f>Plano!E14</f>
        <v>967151.69</v>
      </c>
      <c r="F20" s="228">
        <f>Plano!F14</f>
        <v>2431000</v>
      </c>
      <c r="G20" s="228">
        <f>G21+G22+G23+G24+G25</f>
        <v>2140000</v>
      </c>
      <c r="H20" s="228">
        <f>H21+H22+H23+H24+H25</f>
        <v>2271200</v>
      </c>
      <c r="I20" s="228">
        <f>I21+I22+I23+I24+I25</f>
        <v>1563320</v>
      </c>
    </row>
    <row r="21" spans="1:9" s="45" customFormat="1" ht="12.75">
      <c r="A21" s="165" t="s">
        <v>76</v>
      </c>
      <c r="B21" s="166" t="s">
        <v>77</v>
      </c>
      <c r="C21" s="274">
        <f>Plano!C15</f>
        <v>659400</v>
      </c>
      <c r="D21" s="274">
        <f>Plano!D15</f>
        <v>0</v>
      </c>
      <c r="E21" s="274">
        <f>Plano!E15</f>
        <v>0</v>
      </c>
      <c r="F21" s="274">
        <f>Plano!F15</f>
        <v>1400000</v>
      </c>
      <c r="G21" s="274">
        <v>1400000</v>
      </c>
      <c r="H21" s="274">
        <f>Dívida!G15</f>
        <v>0</v>
      </c>
      <c r="I21" s="274">
        <f>Dívida!H15</f>
        <v>0</v>
      </c>
    </row>
    <row r="22" spans="1:9" s="45" customFormat="1" ht="12.75">
      <c r="A22" s="165" t="s">
        <v>78</v>
      </c>
      <c r="B22" s="166" t="s">
        <v>79</v>
      </c>
      <c r="C22" s="274">
        <f>Plano!C16</f>
        <v>0</v>
      </c>
      <c r="D22" s="274">
        <f>Plano!D16</f>
        <v>0</v>
      </c>
      <c r="E22" s="274">
        <f>Plano!E16</f>
        <v>0</v>
      </c>
      <c r="F22" s="274">
        <f>Plano!F16</f>
        <v>0</v>
      </c>
      <c r="G22" s="274">
        <v>20000</v>
      </c>
      <c r="H22" s="274">
        <v>80000</v>
      </c>
      <c r="I22" s="274">
        <v>55000</v>
      </c>
    </row>
    <row r="23" spans="1:9" ht="12.75">
      <c r="A23" s="165" t="s">
        <v>80</v>
      </c>
      <c r="B23" s="166" t="s">
        <v>81</v>
      </c>
      <c r="C23" s="274">
        <f>Plano!C17</f>
        <v>85004</v>
      </c>
      <c r="D23" s="274">
        <f>Plano!D17</f>
        <v>99135.16</v>
      </c>
      <c r="E23" s="274">
        <f>Plano!E17</f>
        <v>122764.82</v>
      </c>
      <c r="F23" s="274">
        <f>Plano!F17</f>
        <v>110000</v>
      </c>
      <c r="G23" s="274">
        <v>120000</v>
      </c>
      <c r="H23" s="274">
        <v>144500</v>
      </c>
      <c r="I23" s="274">
        <v>158950</v>
      </c>
    </row>
    <row r="24" spans="1:9" s="45" customFormat="1" ht="12.75">
      <c r="A24" s="165" t="s">
        <v>82</v>
      </c>
      <c r="B24" s="166" t="s">
        <v>83</v>
      </c>
      <c r="C24" s="274">
        <f>Plano!C18</f>
        <v>779924.86</v>
      </c>
      <c r="D24" s="274">
        <f>Plano!D18</f>
        <v>691010</v>
      </c>
      <c r="E24" s="274">
        <f>Plano!E18</f>
        <v>844386.87</v>
      </c>
      <c r="F24" s="274">
        <f>Plano!F18</f>
        <v>921000</v>
      </c>
      <c r="G24" s="274">
        <v>600000</v>
      </c>
      <c r="H24" s="274">
        <v>2046700</v>
      </c>
      <c r="I24" s="274">
        <v>1349370</v>
      </c>
    </row>
    <row r="25" spans="1:9" ht="12.75">
      <c r="A25" s="165" t="s">
        <v>84</v>
      </c>
      <c r="B25" s="166" t="s">
        <v>6</v>
      </c>
      <c r="C25" s="274">
        <f>Plano!C19</f>
        <v>0</v>
      </c>
      <c r="D25" s="274">
        <f>Plano!D19</f>
        <v>0</v>
      </c>
      <c r="E25" s="274">
        <f>Plano!E19</f>
        <v>0</v>
      </c>
      <c r="F25" s="274">
        <f>Plano!F19</f>
        <v>0</v>
      </c>
      <c r="G25" s="274">
        <f>F25*(1+Parâmetros!E14)*(1+Parâmetros!E15)</f>
        <v>0</v>
      </c>
      <c r="H25" s="274">
        <f>G25*(1+Parâmetros!F14)*(1+Parâmetros!F15)</f>
        <v>0</v>
      </c>
      <c r="I25" s="274">
        <f>H25*(1+Parâmetros!G14)*(1+Parâmetros!G15)</f>
        <v>0</v>
      </c>
    </row>
    <row r="26" spans="1:9" ht="12.75">
      <c r="A26" s="165" t="s">
        <v>248</v>
      </c>
      <c r="B26" s="166" t="s">
        <v>249</v>
      </c>
      <c r="C26" s="274">
        <f>Plano!C20</f>
        <v>-1900941.87</v>
      </c>
      <c r="D26" s="274">
        <f>Plano!D20</f>
        <v>-2161366.78</v>
      </c>
      <c r="E26" s="274">
        <f>Plano!E20</f>
        <v>-2371448.04</v>
      </c>
      <c r="F26" s="274">
        <f>Plano!F20</f>
        <v>-2821800</v>
      </c>
      <c r="G26" s="274">
        <v>-3227000</v>
      </c>
      <c r="H26" s="274">
        <v>-3633000</v>
      </c>
      <c r="I26" s="274">
        <v>-3996300</v>
      </c>
    </row>
    <row r="27" spans="1:9" ht="12.75">
      <c r="A27" s="224"/>
      <c r="B27" s="225"/>
      <c r="C27" s="274"/>
      <c r="D27" s="274"/>
      <c r="E27" s="274"/>
      <c r="F27" s="274"/>
      <c r="G27" s="274"/>
      <c r="H27" s="274"/>
      <c r="I27" s="274"/>
    </row>
    <row r="28" spans="1:9" s="46" customFormat="1" ht="25.5" customHeight="1">
      <c r="A28" s="226"/>
      <c r="B28" s="227" t="s">
        <v>85</v>
      </c>
      <c r="C28" s="228">
        <f>Plano!C22</f>
        <v>16142455.48</v>
      </c>
      <c r="D28" s="228">
        <f>Plano!D22</f>
        <v>15850957.840000002</v>
      </c>
      <c r="E28" s="228">
        <f>Plano!E22</f>
        <v>17737590.990000002</v>
      </c>
      <c r="F28" s="228">
        <f>Plano!F22</f>
        <v>20910000</v>
      </c>
      <c r="G28" s="228">
        <f>G9+G20+G26</f>
        <v>23215000</v>
      </c>
      <c r="H28" s="228">
        <f>H9+H20+H26</f>
        <v>26116810</v>
      </c>
      <c r="I28" s="228">
        <f>I9+I20+I26</f>
        <v>26693491</v>
      </c>
    </row>
    <row r="29" spans="1:9" ht="12.75">
      <c r="A29" s="200"/>
      <c r="B29" s="200"/>
      <c r="C29" s="201"/>
      <c r="D29" s="201"/>
      <c r="E29" s="201"/>
      <c r="F29" s="201"/>
      <c r="G29" s="201"/>
      <c r="H29" s="201"/>
      <c r="I29" s="201"/>
    </row>
    <row r="30" spans="1:9" ht="13.5" thickBot="1">
      <c r="A30" s="200"/>
      <c r="B30" s="200"/>
      <c r="C30" s="201"/>
      <c r="D30" s="201"/>
      <c r="E30" s="201"/>
      <c r="F30" s="201"/>
      <c r="G30" s="201"/>
      <c r="H30" s="201"/>
      <c r="I30" s="201"/>
    </row>
    <row r="31" spans="1:10" s="6" customFormat="1" ht="16.5" thickTop="1">
      <c r="A31" s="218" t="s">
        <v>0</v>
      </c>
      <c r="B31" s="219" t="s">
        <v>1</v>
      </c>
      <c r="C31" s="216" t="s">
        <v>258</v>
      </c>
      <c r="D31" s="191" t="s">
        <v>258</v>
      </c>
      <c r="E31" s="191" t="s">
        <v>258</v>
      </c>
      <c r="F31" s="191" t="s">
        <v>257</v>
      </c>
      <c r="G31" s="191" t="s">
        <v>20</v>
      </c>
      <c r="H31" s="192" t="s">
        <v>20</v>
      </c>
      <c r="I31" s="193" t="s">
        <v>20</v>
      </c>
      <c r="J31" s="37" t="s">
        <v>20</v>
      </c>
    </row>
    <row r="32" spans="1:10" s="6" customFormat="1" ht="27.75" customHeight="1">
      <c r="A32" s="220"/>
      <c r="B32" s="221" t="s">
        <v>14</v>
      </c>
      <c r="C32" s="209">
        <f>C7</f>
        <v>2008</v>
      </c>
      <c r="D32" s="209">
        <f aca="true" t="shared" si="0" ref="D32:I32">D7</f>
        <v>2009</v>
      </c>
      <c r="E32" s="209">
        <f t="shared" si="0"/>
        <v>2010</v>
      </c>
      <c r="F32" s="209">
        <f t="shared" si="0"/>
        <v>2011</v>
      </c>
      <c r="G32" s="209">
        <f t="shared" si="0"/>
        <v>2012</v>
      </c>
      <c r="H32" s="209">
        <f t="shared" si="0"/>
        <v>2013</v>
      </c>
      <c r="I32" s="209">
        <f t="shared" si="0"/>
        <v>2014</v>
      </c>
      <c r="J32" s="38">
        <v>2005</v>
      </c>
    </row>
    <row r="33" spans="1:9" s="45" customFormat="1" ht="12.75">
      <c r="A33" s="165" t="s">
        <v>86</v>
      </c>
      <c r="B33" s="166" t="s">
        <v>7</v>
      </c>
      <c r="C33" s="228">
        <f>Plano!C26</f>
        <v>13518045.850000001</v>
      </c>
      <c r="D33" s="228">
        <f>Plano!D26</f>
        <v>14287136.96</v>
      </c>
      <c r="E33" s="228">
        <f>Plano!E26</f>
        <v>15794139.53</v>
      </c>
      <c r="F33" s="228">
        <f>Plano!F26</f>
        <v>17385600</v>
      </c>
      <c r="G33" s="228">
        <f>G34+G35+G36</f>
        <v>20158240</v>
      </c>
      <c r="H33" s="228">
        <f>H34+H35+H36</f>
        <v>21228088.560000002</v>
      </c>
      <c r="I33" s="228">
        <f>I34+I35+I36</f>
        <v>23350897</v>
      </c>
    </row>
    <row r="34" spans="1:9" s="45" customFormat="1" ht="12.75">
      <c r="A34" s="165" t="s">
        <v>87</v>
      </c>
      <c r="B34" s="166" t="s">
        <v>88</v>
      </c>
      <c r="C34" s="275">
        <f>Plano!C27</f>
        <v>6078435.53</v>
      </c>
      <c r="D34" s="275">
        <f>Plano!D27</f>
        <v>7210147.66</v>
      </c>
      <c r="E34" s="275">
        <f>Plano!E27</f>
        <v>8025902.31</v>
      </c>
      <c r="F34" s="275">
        <f>Plano!F27</f>
        <v>8491370</v>
      </c>
      <c r="G34" s="274">
        <v>10767596.72</v>
      </c>
      <c r="H34" s="274">
        <v>11315909</v>
      </c>
      <c r="I34" s="274">
        <v>12447500</v>
      </c>
    </row>
    <row r="35" spans="1:9" ht="12.75">
      <c r="A35" s="165" t="s">
        <v>89</v>
      </c>
      <c r="B35" s="166" t="s">
        <v>259</v>
      </c>
      <c r="C35" s="275">
        <f>Plano!C28</f>
        <v>57110.12</v>
      </c>
      <c r="D35" s="275">
        <f>Plano!D28</f>
        <v>98741.9</v>
      </c>
      <c r="E35" s="275">
        <f>Plano!E28</f>
        <v>43596.12</v>
      </c>
      <c r="F35" s="275">
        <f>Plano!F28</f>
        <v>36000</v>
      </c>
      <c r="G35" s="274">
        <v>29000</v>
      </c>
      <c r="H35" s="274">
        <v>48000</v>
      </c>
      <c r="I35" s="274">
        <v>52800</v>
      </c>
    </row>
    <row r="36" spans="1:9" s="45" customFormat="1" ht="12.75">
      <c r="A36" s="165" t="s">
        <v>91</v>
      </c>
      <c r="B36" s="166" t="s">
        <v>92</v>
      </c>
      <c r="C36" s="275">
        <f>Plano!C29</f>
        <v>7382500.2</v>
      </c>
      <c r="D36" s="275">
        <f>Plano!D29</f>
        <v>6978247.4</v>
      </c>
      <c r="E36" s="275">
        <f>Plano!E29</f>
        <v>7724641.1</v>
      </c>
      <c r="F36" s="275">
        <f>Plano!F29</f>
        <v>8858230</v>
      </c>
      <c r="G36" s="274">
        <v>9361643.28</v>
      </c>
      <c r="H36" s="274">
        <v>9864179.56</v>
      </c>
      <c r="I36" s="274">
        <v>10850597</v>
      </c>
    </row>
    <row r="37" spans="1:9" s="45" customFormat="1" ht="12.75">
      <c r="A37" s="165" t="s">
        <v>93</v>
      </c>
      <c r="B37" s="166" t="s">
        <v>8</v>
      </c>
      <c r="C37" s="228">
        <f>Plano!C30</f>
        <v>3006565.7600000002</v>
      </c>
      <c r="D37" s="228">
        <f>Plano!D30</f>
        <v>1111714.01</v>
      </c>
      <c r="E37" s="228">
        <f>Plano!E30</f>
        <v>1826823.59</v>
      </c>
      <c r="F37" s="228">
        <f>Plano!F30</f>
        <v>3340400</v>
      </c>
      <c r="G37" s="228">
        <f>G38+G39+G42</f>
        <v>2843500</v>
      </c>
      <c r="H37" s="228">
        <f>H38+H39+H42</f>
        <v>3644721.44</v>
      </c>
      <c r="I37" s="228">
        <f>I38+I39+I42</f>
        <v>3074194</v>
      </c>
    </row>
    <row r="38" spans="1:9" s="45" customFormat="1" ht="12.75">
      <c r="A38" s="165" t="s">
        <v>94</v>
      </c>
      <c r="B38" s="166" t="s">
        <v>9</v>
      </c>
      <c r="C38" s="275">
        <f>Plano!C31</f>
        <v>2962489.43</v>
      </c>
      <c r="D38" s="275">
        <f>Plano!D31</f>
        <v>763635.95</v>
      </c>
      <c r="E38" s="275">
        <f>Plano!E31</f>
        <v>1287165.51</v>
      </c>
      <c r="F38" s="275">
        <f>Plano!F31</f>
        <v>2991300</v>
      </c>
      <c r="G38" s="274">
        <v>2736500</v>
      </c>
      <c r="H38" s="274">
        <v>3429721.44</v>
      </c>
      <c r="I38" s="274">
        <v>2837694</v>
      </c>
    </row>
    <row r="39" spans="1:9" s="45" customFormat="1" ht="12.75">
      <c r="A39" s="165" t="s">
        <v>95</v>
      </c>
      <c r="B39" s="166" t="s">
        <v>10</v>
      </c>
      <c r="C39" s="228">
        <f>Plano!C32</f>
        <v>0</v>
      </c>
      <c r="D39" s="228">
        <f>Plano!D32</f>
        <v>0</v>
      </c>
      <c r="E39" s="228">
        <f>Plano!E32</f>
        <v>165800</v>
      </c>
      <c r="F39" s="228">
        <f>Plano!F32</f>
        <v>266100</v>
      </c>
      <c r="G39" s="228">
        <f>G40+G41</f>
        <v>26000</v>
      </c>
      <c r="H39" s="228">
        <f>H40+H41</f>
        <v>65000</v>
      </c>
      <c r="I39" s="228">
        <f>I40+I41</f>
        <v>71500</v>
      </c>
    </row>
    <row r="40" spans="1:9" ht="12.75">
      <c r="A40" s="224" t="s">
        <v>96</v>
      </c>
      <c r="B40" s="225" t="s">
        <v>97</v>
      </c>
      <c r="C40" s="275">
        <f>Plano!C33</f>
        <v>0</v>
      </c>
      <c r="D40" s="275">
        <f>Plano!D33</f>
        <v>0</v>
      </c>
      <c r="E40" s="275">
        <f>Plano!E33</f>
        <v>0</v>
      </c>
      <c r="F40" s="275">
        <f>Plano!F33</f>
        <v>0</v>
      </c>
      <c r="G40" s="274">
        <f>F40*(1+Parâmetros!E14)*(1+Parâmetros!E15)</f>
        <v>0</v>
      </c>
      <c r="H40" s="274">
        <f>G40*(1+Parâmetros!F14)*(1+Parâmetros!F15)</f>
        <v>0</v>
      </c>
      <c r="I40" s="274">
        <f>H40*(1+Parâmetros!G14)*(1+Parâmetros!G15)</f>
        <v>0</v>
      </c>
    </row>
    <row r="41" spans="1:9" ht="12.75">
      <c r="A41" s="224" t="s">
        <v>250</v>
      </c>
      <c r="B41" s="225" t="s">
        <v>297</v>
      </c>
      <c r="C41" s="275">
        <f>Plano!C34</f>
        <v>0</v>
      </c>
      <c r="D41" s="275">
        <f>Plano!D34</f>
        <v>0</v>
      </c>
      <c r="E41" s="275">
        <f>Plano!E34</f>
        <v>165800</v>
      </c>
      <c r="F41" s="275">
        <f>Plano!F34</f>
        <v>266100</v>
      </c>
      <c r="G41" s="274">
        <v>26000</v>
      </c>
      <c r="H41" s="274">
        <v>65000</v>
      </c>
      <c r="I41" s="274">
        <v>71500</v>
      </c>
    </row>
    <row r="42" spans="1:9" s="45" customFormat="1" ht="12.75">
      <c r="A42" s="165" t="s">
        <v>98</v>
      </c>
      <c r="B42" s="166" t="s">
        <v>99</v>
      </c>
      <c r="C42" s="275">
        <f>Plano!C35</f>
        <v>44076.33</v>
      </c>
      <c r="D42" s="275">
        <f>Plano!D35</f>
        <v>348078.06</v>
      </c>
      <c r="E42" s="275">
        <f>Plano!E35</f>
        <v>373858.08</v>
      </c>
      <c r="F42" s="275">
        <f>Plano!F35</f>
        <v>83000</v>
      </c>
      <c r="G42" s="274">
        <v>81000</v>
      </c>
      <c r="H42" s="274">
        <v>150000</v>
      </c>
      <c r="I42" s="274">
        <v>165000</v>
      </c>
    </row>
    <row r="43" spans="1:9" ht="12.75">
      <c r="A43" s="165" t="s">
        <v>261</v>
      </c>
      <c r="B43" s="166" t="s">
        <v>262</v>
      </c>
      <c r="C43" s="275">
        <f>Plano!C37</f>
        <v>0</v>
      </c>
      <c r="D43" s="275">
        <f>Plano!D37</f>
        <v>0</v>
      </c>
      <c r="E43" s="275">
        <f>Plano!E37</f>
        <v>0</v>
      </c>
      <c r="F43" s="275">
        <f>Plano!F37</f>
        <v>184000</v>
      </c>
      <c r="G43" s="274">
        <v>213260</v>
      </c>
      <c r="H43" s="274">
        <v>244000</v>
      </c>
      <c r="I43" s="274">
        <v>268400</v>
      </c>
    </row>
    <row r="44" spans="1:9" s="46" customFormat="1" ht="29.25" customHeight="1" thickBot="1">
      <c r="A44" s="226"/>
      <c r="B44" s="227" t="s">
        <v>100</v>
      </c>
      <c r="C44" s="228">
        <f>Plano!C39</f>
        <v>16524611.610000001</v>
      </c>
      <c r="D44" s="228">
        <f>Plano!D39</f>
        <v>15398850.97</v>
      </c>
      <c r="E44" s="228">
        <f>Plano!E39</f>
        <v>17620963.12</v>
      </c>
      <c r="F44" s="228">
        <f>Plano!F39</f>
        <v>20910000</v>
      </c>
      <c r="G44" s="228">
        <f>G33+G37+G43</f>
        <v>23215000</v>
      </c>
      <c r="H44" s="228">
        <f>H33+H37+H43</f>
        <v>25116810.000000004</v>
      </c>
      <c r="I44" s="228">
        <f>I33+I37+I43</f>
        <v>26693491</v>
      </c>
    </row>
    <row r="45" spans="1:10" s="6" customFormat="1" ht="17.25" customHeight="1" hidden="1">
      <c r="A45" s="202">
        <v>50000002</v>
      </c>
      <c r="B45" s="203" t="s">
        <v>42</v>
      </c>
      <c r="C45" s="204"/>
      <c r="D45" s="205"/>
      <c r="E45" s="205"/>
      <c r="F45" s="205"/>
      <c r="G45" s="205"/>
      <c r="H45" s="205"/>
      <c r="I45" s="205"/>
      <c r="J45" s="26"/>
    </row>
    <row r="46" spans="1:10" s="6" customFormat="1" ht="17.25" customHeight="1" hidden="1">
      <c r="A46" s="206"/>
      <c r="B46" s="207" t="s">
        <v>13</v>
      </c>
      <c r="C46" s="208" t="s">
        <v>15</v>
      </c>
      <c r="D46" s="208" t="e">
        <f>IF(#REF!&gt;0,"REALIZADO","PROJETADO")</f>
        <v>#REF!</v>
      </c>
      <c r="E46" s="208" t="e">
        <f>IF(#REF!&gt;0,"REALIZADO","PROJETADO")</f>
        <v>#REF!</v>
      </c>
      <c r="F46" s="208" t="e">
        <f>IF(#REF!&gt;0,"REALIZADO","PROJETADO")</f>
        <v>#REF!</v>
      </c>
      <c r="G46" s="208" t="s">
        <v>20</v>
      </c>
      <c r="H46" s="208"/>
      <c r="I46" s="208" t="s">
        <v>20</v>
      </c>
      <c r="J46" s="27" t="s">
        <v>20</v>
      </c>
    </row>
    <row r="47" spans="1:10" s="6" customFormat="1" ht="17.25" customHeight="1" hidden="1">
      <c r="A47" s="206"/>
      <c r="B47" s="209" t="s">
        <v>12</v>
      </c>
      <c r="C47" s="194">
        <v>1999</v>
      </c>
      <c r="D47" s="194">
        <v>2000</v>
      </c>
      <c r="E47" s="194">
        <v>2001</v>
      </c>
      <c r="F47" s="194">
        <v>2002</v>
      </c>
      <c r="G47" s="194">
        <v>2003</v>
      </c>
      <c r="H47" s="194"/>
      <c r="I47" s="194">
        <v>2004</v>
      </c>
      <c r="J47" s="25">
        <v>2005</v>
      </c>
    </row>
    <row r="48" spans="1:10" s="6" customFormat="1" ht="17.25" customHeight="1" hidden="1">
      <c r="A48" s="206"/>
      <c r="B48" s="210"/>
      <c r="C48" s="211"/>
      <c r="D48" s="211"/>
      <c r="E48" s="211"/>
      <c r="F48" s="211"/>
      <c r="G48" s="211"/>
      <c r="H48" s="211"/>
      <c r="I48" s="211"/>
      <c r="J48" s="28"/>
    </row>
    <row r="49" spans="1:10" s="6" customFormat="1" ht="16.5" hidden="1" thickBot="1">
      <c r="A49" s="206"/>
      <c r="B49" s="210" t="s">
        <v>22</v>
      </c>
      <c r="C49" s="212" t="e">
        <f>C8-#REF!-C12+C53-#REF!</f>
        <v>#REF!</v>
      </c>
      <c r="D49" s="212" t="e">
        <f>D8-#REF!-D12+D53-#REF!</f>
        <v>#REF!</v>
      </c>
      <c r="E49" s="212" t="e">
        <f>E8-#REF!-E12+E53-#REF!</f>
        <v>#REF!</v>
      </c>
      <c r="F49" s="212" t="e">
        <f>F8-#REF!-F12+F53-#REF!</f>
        <v>#REF!</v>
      </c>
      <c r="G49" s="212" t="e">
        <f>G8-#REF!-G12+G53-#REF!</f>
        <v>#REF!</v>
      </c>
      <c r="H49" s="212"/>
      <c r="I49" s="212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6"/>
      <c r="B50" s="210" t="s">
        <v>23</v>
      </c>
      <c r="C50" s="212">
        <f>C9</f>
        <v>16519068.49</v>
      </c>
      <c r="D50" s="212">
        <f aca="true" t="shared" si="1" ref="D50:J50">D9</f>
        <v>17222179.46</v>
      </c>
      <c r="E50" s="212">
        <f t="shared" si="1"/>
        <v>19141887.34</v>
      </c>
      <c r="F50" s="212">
        <f t="shared" si="1"/>
        <v>21300800</v>
      </c>
      <c r="G50" s="212">
        <f t="shared" si="1"/>
        <v>24302000</v>
      </c>
      <c r="H50" s="212"/>
      <c r="I50" s="212">
        <f t="shared" si="1"/>
        <v>29126471</v>
      </c>
      <c r="J50" s="35">
        <f t="shared" si="1"/>
        <v>0</v>
      </c>
    </row>
    <row r="51" spans="1:10" s="6" customFormat="1" ht="16.5" hidden="1" thickBot="1">
      <c r="A51" s="206"/>
      <c r="B51" s="210" t="s">
        <v>24</v>
      </c>
      <c r="C51" s="212" t="e">
        <f>C15+C16+C18+#REF!+#REF!+#REF!+#REF!</f>
        <v>#REF!</v>
      </c>
      <c r="D51" s="212" t="e">
        <f>D15+D16+D18+#REF!+#REF!+#REF!+#REF!</f>
        <v>#REF!</v>
      </c>
      <c r="E51" s="212" t="e">
        <f>E15+E16+E18+#REF!+#REF!+#REF!+#REF!</f>
        <v>#REF!</v>
      </c>
      <c r="F51" s="212" t="e">
        <f>F15+F16+F18+#REF!+#REF!+#REF!+#REF!</f>
        <v>#REF!</v>
      </c>
      <c r="G51" s="212" t="e">
        <f>G15+G16+G18+#REF!+#REF!+#REF!+#REF!</f>
        <v>#REF!</v>
      </c>
      <c r="H51" s="212"/>
      <c r="I51" s="212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6"/>
      <c r="B52" s="210" t="s">
        <v>25</v>
      </c>
      <c r="C52" s="212" t="e">
        <f>#REF!</f>
        <v>#REF!</v>
      </c>
      <c r="D52" s="212" t="e">
        <f>#REF!</f>
        <v>#REF!</v>
      </c>
      <c r="E52" s="212" t="e">
        <f>#REF!</f>
        <v>#REF!</v>
      </c>
      <c r="F52" s="212" t="e">
        <f>#REF!</f>
        <v>#REF!</v>
      </c>
      <c r="G52" s="212" t="e">
        <f>#REF!</f>
        <v>#REF!</v>
      </c>
      <c r="H52" s="212"/>
      <c r="I52" s="212" t="e">
        <f>#REF!</f>
        <v>#REF!</v>
      </c>
      <c r="J52" s="35" t="e">
        <f>#REF!</f>
        <v>#REF!</v>
      </c>
    </row>
    <row r="53" spans="1:10" s="6" customFormat="1" ht="16.5" hidden="1" thickBot="1">
      <c r="A53" s="206"/>
      <c r="B53" s="210" t="s">
        <v>26</v>
      </c>
      <c r="C53" s="212" t="e">
        <f>#REF!-#REF!</f>
        <v>#REF!</v>
      </c>
      <c r="D53" s="212" t="e">
        <f>#REF!-#REF!</f>
        <v>#REF!</v>
      </c>
      <c r="E53" s="212" t="e">
        <f>#REF!-#REF!</f>
        <v>#REF!</v>
      </c>
      <c r="F53" s="212" t="e">
        <f>#REF!-#REF!</f>
        <v>#REF!</v>
      </c>
      <c r="G53" s="212" t="e">
        <f>#REF!-#REF!</f>
        <v>#REF!</v>
      </c>
      <c r="H53" s="212"/>
      <c r="I53" s="212" t="e">
        <f>#REF!-#REF!</f>
        <v>#REF!</v>
      </c>
      <c r="J53" s="35" t="e">
        <f>#REF!-#REF!</f>
        <v>#REF!</v>
      </c>
    </row>
    <row r="54" spans="1:10" s="6" customFormat="1" ht="16.5" hidden="1" thickBot="1">
      <c r="A54" s="206"/>
      <c r="B54" s="210" t="s">
        <v>27</v>
      </c>
      <c r="C54" s="212" t="e">
        <f>#REF!</f>
        <v>#REF!</v>
      </c>
      <c r="D54" s="212" t="e">
        <f>#REF!</f>
        <v>#REF!</v>
      </c>
      <c r="E54" s="212" t="e">
        <f>#REF!</f>
        <v>#REF!</v>
      </c>
      <c r="F54" s="212" t="e">
        <f>#REF!</f>
        <v>#REF!</v>
      </c>
      <c r="G54" s="212" t="e">
        <f>#REF!</f>
        <v>#REF!</v>
      </c>
      <c r="H54" s="212"/>
      <c r="I54" s="212" t="e">
        <f>#REF!</f>
        <v>#REF!</v>
      </c>
      <c r="J54" s="35" t="e">
        <f>#REF!</f>
        <v>#REF!</v>
      </c>
    </row>
    <row r="55" spans="1:10" s="6" customFormat="1" ht="16.5" hidden="1" thickBot="1">
      <c r="A55" s="206"/>
      <c r="B55" s="210" t="s">
        <v>28</v>
      </c>
      <c r="C55" s="212" t="e">
        <f>#REF!</f>
        <v>#REF!</v>
      </c>
      <c r="D55" s="212" t="e">
        <f>#REF!</f>
        <v>#REF!</v>
      </c>
      <c r="E55" s="212" t="e">
        <f>#REF!</f>
        <v>#REF!</v>
      </c>
      <c r="F55" s="212" t="e">
        <f>#REF!</f>
        <v>#REF!</v>
      </c>
      <c r="G55" s="212" t="e">
        <f>#REF!</f>
        <v>#REF!</v>
      </c>
      <c r="H55" s="212"/>
      <c r="I55" s="212" t="e">
        <f>#REF!</f>
        <v>#REF!</v>
      </c>
      <c r="J55" s="35" t="e">
        <f>#REF!</f>
        <v>#REF!</v>
      </c>
    </row>
    <row r="56" spans="1:10" s="6" customFormat="1" ht="16.5" hidden="1" thickBot="1">
      <c r="A56" s="206"/>
      <c r="B56" s="210" t="s">
        <v>29</v>
      </c>
      <c r="C56" s="212" t="e">
        <f>#REF!</f>
        <v>#REF!</v>
      </c>
      <c r="D56" s="212" t="e">
        <f>#REF!</f>
        <v>#REF!</v>
      </c>
      <c r="E56" s="212" t="e">
        <f>#REF!</f>
        <v>#REF!</v>
      </c>
      <c r="F56" s="212" t="e">
        <f>#REF!</f>
        <v>#REF!</v>
      </c>
      <c r="G56" s="212" t="e">
        <f>#REF!</f>
        <v>#REF!</v>
      </c>
      <c r="H56" s="212"/>
      <c r="I56" s="212" t="e">
        <f>#REF!</f>
        <v>#REF!</v>
      </c>
      <c r="J56" s="35" t="e">
        <f>#REF!</f>
        <v>#REF!</v>
      </c>
    </row>
    <row r="57" spans="1:10" s="6" customFormat="1" ht="16.5" hidden="1" thickBot="1">
      <c r="A57" s="206"/>
      <c r="B57" s="210" t="s">
        <v>30</v>
      </c>
      <c r="C57" s="212">
        <f>C24</f>
        <v>779924.86</v>
      </c>
      <c r="D57" s="212">
        <f aca="true" t="shared" si="2" ref="D57:J57">D24</f>
        <v>691010</v>
      </c>
      <c r="E57" s="212">
        <f t="shared" si="2"/>
        <v>844386.87</v>
      </c>
      <c r="F57" s="212">
        <f t="shared" si="2"/>
        <v>921000</v>
      </c>
      <c r="G57" s="212">
        <f t="shared" si="2"/>
        <v>600000</v>
      </c>
      <c r="H57" s="212"/>
      <c r="I57" s="212">
        <f t="shared" si="2"/>
        <v>1349370</v>
      </c>
      <c r="J57" s="35">
        <f t="shared" si="2"/>
        <v>0</v>
      </c>
    </row>
    <row r="58" spans="1:10" s="6" customFormat="1" ht="16.5" hidden="1" thickBot="1">
      <c r="A58" s="206"/>
      <c r="B58" s="210" t="s">
        <v>31</v>
      </c>
      <c r="C58" s="212" t="e">
        <f>#REF!+#REF!+C40+C41+C42+#REF!+C43+C44+C35+#REF!</f>
        <v>#REF!</v>
      </c>
      <c r="D58" s="212" t="e">
        <f>#REF!+#REF!+D40+D41+D42+#REF!+D43+D44+D35+#REF!</f>
        <v>#REF!</v>
      </c>
      <c r="E58" s="212" t="e">
        <f>#REF!+#REF!+E40+E41+E42+#REF!+E43+E44+E35+#REF!</f>
        <v>#REF!</v>
      </c>
      <c r="F58" s="212" t="e">
        <f>#REF!+#REF!+F40+F41+F42+#REF!+F43+F44+F35+#REF!</f>
        <v>#REF!</v>
      </c>
      <c r="G58" s="212" t="e">
        <f>#REF!+#REF!+G40+G41+G42+#REF!+G43+G44+G35+#REF!</f>
        <v>#REF!</v>
      </c>
      <c r="H58" s="212"/>
      <c r="I58" s="212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6"/>
      <c r="B59" s="210" t="s">
        <v>32</v>
      </c>
      <c r="C59" s="212" t="e">
        <f>#REF!+#REF!</f>
        <v>#REF!</v>
      </c>
      <c r="D59" s="212" t="e">
        <f>#REF!+#REF!</f>
        <v>#REF!</v>
      </c>
      <c r="E59" s="212" t="e">
        <f>#REF!+#REF!</f>
        <v>#REF!</v>
      </c>
      <c r="F59" s="212" t="e">
        <f>#REF!+#REF!</f>
        <v>#REF!</v>
      </c>
      <c r="G59" s="212" t="e">
        <f>#REF!+#REF!</f>
        <v>#REF!</v>
      </c>
      <c r="H59" s="212"/>
      <c r="I59" s="212" t="e">
        <f>#REF!+#REF!</f>
        <v>#REF!</v>
      </c>
      <c r="J59" s="35" t="e">
        <f>#REF!+#REF!</f>
        <v>#REF!</v>
      </c>
    </row>
    <row r="60" spans="1:10" s="6" customFormat="1" ht="16.5" hidden="1" thickBot="1">
      <c r="A60" s="206"/>
      <c r="B60" s="210" t="s">
        <v>33</v>
      </c>
      <c r="C60" s="212">
        <f>C38+C39</f>
        <v>2962489.43</v>
      </c>
      <c r="D60" s="212">
        <f>D38+D39</f>
        <v>763635.95</v>
      </c>
      <c r="E60" s="212">
        <f>E38+E39</f>
        <v>1452965.51</v>
      </c>
      <c r="F60" s="212">
        <f>F38+F39</f>
        <v>3257400</v>
      </c>
      <c r="G60" s="212">
        <f>G38+G39</f>
        <v>2762500</v>
      </c>
      <c r="H60" s="212"/>
      <c r="I60" s="212">
        <f>I38+I39</f>
        <v>2909194</v>
      </c>
      <c r="J60" s="35">
        <f>J38+J39</f>
        <v>0</v>
      </c>
    </row>
    <row r="61" spans="1:10" s="6" customFormat="1" ht="16.5" hidden="1" thickBot="1">
      <c r="A61" s="206"/>
      <c r="B61" s="210" t="s">
        <v>34</v>
      </c>
      <c r="C61" s="212" t="e">
        <f>#REF!</f>
        <v>#REF!</v>
      </c>
      <c r="D61" s="212" t="e">
        <f>#REF!</f>
        <v>#REF!</v>
      </c>
      <c r="E61" s="212" t="e">
        <f>#REF!</f>
        <v>#REF!</v>
      </c>
      <c r="F61" s="212" t="e">
        <f>#REF!</f>
        <v>#REF!</v>
      </c>
      <c r="G61" s="212" t="e">
        <f>#REF!</f>
        <v>#REF!</v>
      </c>
      <c r="H61" s="212"/>
      <c r="I61" s="212" t="e">
        <f>#REF!</f>
        <v>#REF!</v>
      </c>
      <c r="J61" s="35" t="e">
        <f>#REF!</f>
        <v>#REF!</v>
      </c>
    </row>
    <row r="62" spans="1:10" s="6" customFormat="1" ht="16.5" hidden="1" thickBot="1">
      <c r="A62" s="206"/>
      <c r="B62" s="210" t="s">
        <v>35</v>
      </c>
      <c r="C62" s="212" t="e">
        <f>C36+#REF!+#REF!+#REF!+#REF!+#REF!+#REF!</f>
        <v>#REF!</v>
      </c>
      <c r="D62" s="212" t="e">
        <f>D36+#REF!+#REF!+#REF!+#REF!+#REF!+#REF!</f>
        <v>#REF!</v>
      </c>
      <c r="E62" s="212" t="e">
        <f>E36+#REF!+#REF!+#REF!+#REF!+#REF!+#REF!</f>
        <v>#REF!</v>
      </c>
      <c r="F62" s="212" t="e">
        <f>F36+#REF!+#REF!+#REF!+#REF!+#REF!+#REF!</f>
        <v>#REF!</v>
      </c>
      <c r="G62" s="212" t="e">
        <f>G36+#REF!+#REF!+#REF!+#REF!+#REF!+#REF!</f>
        <v>#REF!</v>
      </c>
      <c r="H62" s="212"/>
      <c r="I62" s="212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6"/>
      <c r="B63" s="210" t="s">
        <v>41</v>
      </c>
      <c r="C63" s="212" t="e">
        <f>#REF!</f>
        <v>#REF!</v>
      </c>
      <c r="D63" s="212" t="e">
        <f>#REF!</f>
        <v>#REF!</v>
      </c>
      <c r="E63" s="212" t="e">
        <f>#REF!</f>
        <v>#REF!</v>
      </c>
      <c r="F63" s="212" t="e">
        <f>#REF!</f>
        <v>#REF!</v>
      </c>
      <c r="G63" s="212" t="e">
        <f>#REF!</f>
        <v>#REF!</v>
      </c>
      <c r="H63" s="212"/>
      <c r="I63" s="212" t="e">
        <f>#REF!</f>
        <v>#REF!</v>
      </c>
      <c r="J63" s="35" t="e">
        <f>#REF!</f>
        <v>#REF!</v>
      </c>
    </row>
    <row r="64" spans="1:10" s="6" customFormat="1" ht="16.5" hidden="1" thickBot="1">
      <c r="A64" s="206"/>
      <c r="B64" s="210" t="s">
        <v>36</v>
      </c>
      <c r="C64" s="212" t="e">
        <f>#REF!+#REF!</f>
        <v>#REF!</v>
      </c>
      <c r="D64" s="212" t="e">
        <f>#REF!+#REF!</f>
        <v>#REF!</v>
      </c>
      <c r="E64" s="212" t="e">
        <f>#REF!+#REF!</f>
        <v>#REF!</v>
      </c>
      <c r="F64" s="212" t="e">
        <f>#REF!+#REF!</f>
        <v>#REF!</v>
      </c>
      <c r="G64" s="212" t="e">
        <f>#REF!+#REF!</f>
        <v>#REF!</v>
      </c>
      <c r="H64" s="212"/>
      <c r="I64" s="212" t="e">
        <f>#REF!+#REF!</f>
        <v>#REF!</v>
      </c>
      <c r="J64" s="35" t="e">
        <f>#REF!+#REF!</f>
        <v>#REF!</v>
      </c>
    </row>
    <row r="65" spans="1:10" s="6" customFormat="1" ht="16.5" hidden="1" thickBot="1">
      <c r="A65" s="206"/>
      <c r="B65" s="210" t="s">
        <v>37</v>
      </c>
      <c r="C65" s="212" t="e">
        <f>#REF!+#REF!</f>
        <v>#REF!</v>
      </c>
      <c r="D65" s="212" t="e">
        <f>#REF!+#REF!</f>
        <v>#REF!</v>
      </c>
      <c r="E65" s="212" t="e">
        <f>#REF!+#REF!</f>
        <v>#REF!</v>
      </c>
      <c r="F65" s="212" t="e">
        <f>#REF!+#REF!</f>
        <v>#REF!</v>
      </c>
      <c r="G65" s="212" t="e">
        <f>#REF!+#REF!</f>
        <v>#REF!</v>
      </c>
      <c r="H65" s="212"/>
      <c r="I65" s="212" t="e">
        <f>#REF!+#REF!</f>
        <v>#REF!</v>
      </c>
      <c r="J65" s="35" t="e">
        <f>#REF!+#REF!</f>
        <v>#REF!</v>
      </c>
    </row>
    <row r="66" spans="1:10" s="6" customFormat="1" ht="16.5" hidden="1" thickBot="1">
      <c r="A66" s="206"/>
      <c r="B66" s="210" t="s">
        <v>38</v>
      </c>
      <c r="C66" s="212" t="e">
        <f>C64+C65</f>
        <v>#REF!</v>
      </c>
      <c r="D66" s="212" t="e">
        <f aca="true" t="shared" si="3" ref="D66:J66">D64+D65</f>
        <v>#REF!</v>
      </c>
      <c r="E66" s="212" t="e">
        <f t="shared" si="3"/>
        <v>#REF!</v>
      </c>
      <c r="F66" s="212" t="e">
        <f t="shared" si="3"/>
        <v>#REF!</v>
      </c>
      <c r="G66" s="212" t="e">
        <f t="shared" si="3"/>
        <v>#REF!</v>
      </c>
      <c r="H66" s="212"/>
      <c r="I66" s="212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6"/>
      <c r="B67" s="210" t="s">
        <v>39</v>
      </c>
      <c r="C67" s="212" t="e">
        <f>((C8+C22)-(C51)-((#REF!+#REF!)-C66))</f>
        <v>#REF!</v>
      </c>
      <c r="D67" s="212" t="e">
        <f>((D8+D22)-(D51)-((#REF!+#REF!)-D66))</f>
        <v>#REF!</v>
      </c>
      <c r="E67" s="212" t="e">
        <f>((E8+E22)-(E51)-((#REF!+#REF!)-E66))</f>
        <v>#REF!</v>
      </c>
      <c r="F67" s="212" t="e">
        <f>((F8+F22)-(F51)-((#REF!+#REF!)-F66))</f>
        <v>#REF!</v>
      </c>
      <c r="G67" s="212" t="e">
        <f>((G8+G22)-(G51)-((#REF!+#REF!)-G66))</f>
        <v>#REF!</v>
      </c>
      <c r="H67" s="212"/>
      <c r="I67" s="212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6"/>
      <c r="B68" s="213" t="s">
        <v>40</v>
      </c>
      <c r="C68" s="214" t="e">
        <f>-(C67-(C64-C15-C16-C18-#REF!))</f>
        <v>#REF!</v>
      </c>
      <c r="D68" s="214" t="e">
        <f>-(D67-(D64-D15-D16-D18-#REF!))</f>
        <v>#REF!</v>
      </c>
      <c r="E68" s="214" t="e">
        <f>-(E67-(E64-E15-E16-E18-#REF!))</f>
        <v>#REF!</v>
      </c>
      <c r="F68" s="214" t="e">
        <f>-(F67-(F64-F15-F16-F18-#REF!))</f>
        <v>#REF!</v>
      </c>
      <c r="G68" s="214" t="e">
        <f>-(G67-(G64-G15-G16-G18-#REF!))</f>
        <v>#REF!</v>
      </c>
      <c r="H68" s="214"/>
      <c r="I68" s="214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6"/>
      <c r="B69" s="215"/>
      <c r="C69" s="215"/>
      <c r="D69" s="215"/>
      <c r="E69" s="215"/>
      <c r="F69" s="215"/>
      <c r="G69" s="215"/>
      <c r="H69" s="215"/>
      <c r="I69" s="215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printOptions/>
  <pageMargins left="0.75" right="0.75" top="1" bottom="1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7:G28"/>
  <sheetViews>
    <sheetView showGridLines="0" zoomScale="75" zoomScaleNormal="75" workbookViewId="0" topLeftCell="A7">
      <selection activeCell="B38" sqref="B38"/>
    </sheetView>
  </sheetViews>
  <sheetFormatPr defaultColWidth="9.140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2012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2008</v>
      </c>
      <c r="C12" s="55">
        <f>DADOS!$E$32-3</f>
        <v>2009</v>
      </c>
      <c r="D12" s="55">
        <f>DADOS!$E$32-2</f>
        <v>2010</v>
      </c>
      <c r="E12" s="55">
        <f>DADOS!$E$32-1</f>
        <v>2011</v>
      </c>
      <c r="F12" s="55">
        <f>DADOS!$E$32</f>
        <v>2012</v>
      </c>
      <c r="G12" s="55">
        <f>DADOS!$E$32+1</f>
        <v>2013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263</v>
      </c>
      <c r="B14" s="287">
        <v>0.059</v>
      </c>
      <c r="C14" s="288">
        <v>0.0431</v>
      </c>
      <c r="D14" s="288">
        <v>0.0591</v>
      </c>
      <c r="E14" s="289">
        <v>0.0537</v>
      </c>
      <c r="F14" s="289">
        <v>0.052</v>
      </c>
      <c r="G14" s="289">
        <v>0.0549</v>
      </c>
    </row>
    <row r="15" spans="1:7" ht="15.75">
      <c r="A15" s="56" t="s">
        <v>264</v>
      </c>
      <c r="B15" s="290">
        <v>0.052</v>
      </c>
      <c r="C15" s="291">
        <v>-0.006</v>
      </c>
      <c r="D15" s="291">
        <v>0.075</v>
      </c>
      <c r="E15" s="289">
        <v>0.0403</v>
      </c>
      <c r="F15" s="289">
        <v>0.0364</v>
      </c>
      <c r="G15" s="289">
        <v>0.0506</v>
      </c>
    </row>
    <row r="16" spans="1:7" ht="15.75">
      <c r="A16" s="59" t="s">
        <v>265</v>
      </c>
      <c r="B16" s="292">
        <f>((Projeções!D34/Projeções!C34)-1)-B14</f>
        <v>0.1271847714620739</v>
      </c>
      <c r="C16" s="292">
        <f>((Projeções!E34/Projeções!D34)-1)-C14</f>
        <v>0.07003979802738183</v>
      </c>
      <c r="D16" s="292">
        <v>-0.0188</v>
      </c>
      <c r="E16" s="289">
        <v>-0.0177</v>
      </c>
      <c r="F16" s="289">
        <v>-0.0384</v>
      </c>
      <c r="G16" s="289">
        <f>(D16+E16+F16)/3</f>
        <v>-0.024966666666666665</v>
      </c>
    </row>
    <row r="17" spans="1:7" ht="15.75">
      <c r="A17" s="58" t="s">
        <v>266</v>
      </c>
      <c r="B17" s="292">
        <f>((Projeções!D36/Projeções!C36)-1)-B14-B15</f>
        <v>-0.16575825114098874</v>
      </c>
      <c r="C17" s="292">
        <f>((Projeções!E36/Projeções!D36)-1)-C14-C15</f>
        <v>0.0698600513160367</v>
      </c>
      <c r="D17" s="292">
        <v>-0.1226</v>
      </c>
      <c r="E17" s="289">
        <v>0.05</v>
      </c>
      <c r="F17" s="289">
        <v>0.05</v>
      </c>
      <c r="G17" s="289">
        <v>0.05</v>
      </c>
    </row>
    <row r="18" spans="1:7" ht="15.75">
      <c r="A18" s="58" t="s">
        <v>267</v>
      </c>
      <c r="B18" s="292">
        <f>((Projeções!D10/Projeções!C10)-1)-B14-B15</f>
        <v>-0.03622132581105642</v>
      </c>
      <c r="C18" s="292">
        <f>((Projeções!E10/Projeções!D10)-1)-C14-C15</f>
        <v>-0.036443693544415325</v>
      </c>
      <c r="D18" s="292">
        <f>((Projeções!F10/Projeções!E10)-1)-D14-D15</f>
        <v>0.23164690878579497</v>
      </c>
      <c r="E18" s="289">
        <f>(B18+C18+D18)/3</f>
        <v>0.05299396314344107</v>
      </c>
      <c r="F18" s="289">
        <v>0.0827</v>
      </c>
      <c r="G18" s="289">
        <v>0.1225</v>
      </c>
    </row>
    <row r="19" spans="1:7" ht="15.75">
      <c r="A19" s="58" t="s">
        <v>268</v>
      </c>
      <c r="B19" s="292">
        <f>((Projeções!D18/Projeções!C18)-1)-B14-B15</f>
        <v>-0.07237478491320659</v>
      </c>
      <c r="C19" s="292">
        <f>((Projeções!E18/Projeções!D18)-1)-C14-C15</f>
        <v>-0.0343924533854326</v>
      </c>
      <c r="D19" s="292">
        <v>0.1533</v>
      </c>
      <c r="E19" s="289">
        <v>0.05</v>
      </c>
      <c r="F19" s="289">
        <v>0.05</v>
      </c>
      <c r="G19" s="289">
        <v>0.05</v>
      </c>
    </row>
    <row r="20" spans="1:7" ht="15.75">
      <c r="A20" s="56" t="s">
        <v>269</v>
      </c>
      <c r="B20" s="285"/>
      <c r="C20" s="286"/>
      <c r="D20" s="286"/>
      <c r="E20" s="57">
        <v>0.1</v>
      </c>
      <c r="F20" s="57">
        <v>0.07</v>
      </c>
      <c r="G20" s="57">
        <v>0.07</v>
      </c>
    </row>
    <row r="21" spans="1:7" ht="15.75">
      <c r="A21" s="60" t="s">
        <v>270</v>
      </c>
      <c r="B21" s="292">
        <f>((Projeções!D38/Projeções!C38)-1)-B14-B15</f>
        <v>-0.8532316710173038</v>
      </c>
      <c r="C21" s="292">
        <f>((Projeções!E38/Projeções!D38)-1)-C14-C15</f>
        <v>0.6484747951625379</v>
      </c>
      <c r="D21" s="292">
        <v>-0.083</v>
      </c>
      <c r="E21" s="289">
        <f>(B21+C21+D21)/3</f>
        <v>-0.09591895861825529</v>
      </c>
      <c r="F21" s="289">
        <f>(C21+D21+E21)/3</f>
        <v>0.15651861218142757</v>
      </c>
      <c r="G21" s="289">
        <f>(D21+E21+F21)/3</f>
        <v>-0.0074667821456092425</v>
      </c>
    </row>
    <row r="22" spans="1:7" ht="15.75">
      <c r="A22" s="60" t="s">
        <v>216</v>
      </c>
      <c r="B22" s="273"/>
      <c r="C22" s="295">
        <v>152714000</v>
      </c>
      <c r="D22" s="296">
        <v>180819000</v>
      </c>
      <c r="E22" s="296">
        <v>182520000</v>
      </c>
      <c r="F22" s="296">
        <v>197483000</v>
      </c>
      <c r="G22" s="296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84"/>
      <c r="B28" s="63"/>
    </row>
  </sheetData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J21"/>
  <sheetViews>
    <sheetView zoomScale="80" zoomScaleNormal="80" workbookViewId="0" topLeftCell="A1">
      <selection activeCell="I19" sqref="I19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59" t="str">
        <f>DADOS!A3</f>
        <v>MUNICIPIO DE QUILOMBO</v>
      </c>
      <c r="B1" s="336"/>
      <c r="C1" s="336"/>
      <c r="D1" s="336"/>
      <c r="E1" s="336"/>
      <c r="F1" s="336"/>
      <c r="G1" s="336"/>
      <c r="H1" s="336"/>
      <c r="I1" s="336"/>
      <c r="J1" s="337"/>
    </row>
    <row r="2" spans="1:10" ht="12.75">
      <c r="A2" s="335" t="s">
        <v>48</v>
      </c>
      <c r="B2" s="336"/>
      <c r="C2" s="336"/>
      <c r="D2" s="336"/>
      <c r="E2" s="336"/>
      <c r="F2" s="336"/>
      <c r="G2" s="336"/>
      <c r="H2" s="336"/>
      <c r="I2" s="336"/>
      <c r="J2" s="337"/>
    </row>
    <row r="3" spans="1:10" ht="12.75">
      <c r="A3" s="335" t="s">
        <v>229</v>
      </c>
      <c r="B3" s="336"/>
      <c r="C3" s="336"/>
      <c r="D3" s="336"/>
      <c r="E3" s="336"/>
      <c r="F3" s="336"/>
      <c r="G3" s="336"/>
      <c r="H3" s="336"/>
      <c r="I3" s="336"/>
      <c r="J3" s="337"/>
    </row>
    <row r="4" spans="1:10" ht="12.75">
      <c r="A4" s="360" t="s">
        <v>230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ht="12.75">
      <c r="A5" s="335" t="str">
        <f>DADOS!A17</f>
        <v>Exercício de 2012</v>
      </c>
      <c r="B5" s="336"/>
      <c r="C5" s="336"/>
      <c r="D5" s="336"/>
      <c r="E5" s="336"/>
      <c r="F5" s="336"/>
      <c r="G5" s="336"/>
      <c r="H5" s="336"/>
      <c r="I5" s="336"/>
      <c r="J5" s="337"/>
    </row>
    <row r="6" spans="1:10" ht="12.75">
      <c r="A6" s="335"/>
      <c r="B6" s="336"/>
      <c r="C6" s="336"/>
      <c r="D6" s="336"/>
      <c r="E6" s="336"/>
      <c r="F6" s="336"/>
      <c r="G6" s="336"/>
      <c r="H6" s="336"/>
      <c r="I6" s="336"/>
      <c r="J6" s="337"/>
    </row>
    <row r="7" spans="1:10" ht="15.75">
      <c r="A7" s="64" t="s">
        <v>104</v>
      </c>
      <c r="B7" s="333"/>
      <c r="C7" s="333"/>
      <c r="D7" s="333"/>
      <c r="E7" s="333"/>
      <c r="F7" s="333"/>
      <c r="G7" s="333"/>
      <c r="H7" s="334">
        <v>1</v>
      </c>
      <c r="I7" s="352"/>
      <c r="J7" s="352"/>
    </row>
    <row r="8" spans="1:10" s="67" customFormat="1" ht="12.75">
      <c r="A8" s="353" t="s">
        <v>105</v>
      </c>
      <c r="B8" s="356">
        <f>DADOS!E32</f>
        <v>2012</v>
      </c>
      <c r="C8" s="357"/>
      <c r="D8" s="358"/>
      <c r="E8" s="356">
        <f>B8+1</f>
        <v>2013</v>
      </c>
      <c r="F8" s="357"/>
      <c r="G8" s="358"/>
      <c r="H8" s="356">
        <f>B8+2</f>
        <v>2014</v>
      </c>
      <c r="I8" s="357"/>
      <c r="J8" s="357"/>
    </row>
    <row r="9" spans="1:10" ht="15.75" customHeight="1">
      <c r="A9" s="354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54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55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51">
        <f>Projeções!G28</f>
        <v>23215000</v>
      </c>
      <c r="C12" s="251">
        <f>B12/(1+Parâmetros!E14)</f>
        <v>22031887.634051435</v>
      </c>
      <c r="D12" s="252">
        <f>B12/(Parâmetros!E22)/1000</f>
        <v>0.0001271915406530791</v>
      </c>
      <c r="E12" s="251">
        <f>Projeções!H28</f>
        <v>26116810</v>
      </c>
      <c r="F12" s="251">
        <f>E12/((1+Parâmetros!E14)*(1+Parâmetros!F14))</f>
        <v>23560657.700494833</v>
      </c>
      <c r="G12" s="252">
        <f>E12/(Parâmetros!F22)/1000</f>
        <v>0.00013224839606447135</v>
      </c>
      <c r="H12" s="251">
        <f>Projeções!I28</f>
        <v>26693491</v>
      </c>
      <c r="I12" s="251">
        <f>H12/((1+Parâmetros!E14)*(1+Parâmetros!F14)*(1+Parâmetros!G14))</f>
        <v>22827658.281000134</v>
      </c>
      <c r="J12" s="252">
        <f>H12/(Parâmetros!G22)/1000</f>
        <v>0.0001213616321891339</v>
      </c>
    </row>
    <row r="13" spans="1:10" ht="15.75">
      <c r="A13" s="79" t="s">
        <v>231</v>
      </c>
      <c r="B13" s="251">
        <f>B12-(Projeções!G13+Projeções!G21+Projeções!G22+Projeções!G23)</f>
        <v>21541700</v>
      </c>
      <c r="C13" s="251">
        <f>B13/(1+Parâmetros!E14)</f>
        <v>20443864.47755528</v>
      </c>
      <c r="D13" s="252">
        <f>B13/(Parâmetros!E22)/1000</f>
        <v>0.00011802377821608591</v>
      </c>
      <c r="E13" s="251">
        <f>E12-(Projeções!H13+Projeções!H21+Projeções!H22+Projeções!H23)</f>
        <v>25857690</v>
      </c>
      <c r="F13" s="251">
        <f>E13/((1+Parâmetros!E14)*(1+Parâmetros!F14))</f>
        <v>23326898.76809259</v>
      </c>
      <c r="G13" s="252">
        <f>E13/(Parâmetros!F22)/1000</f>
        <v>0.00013093628312310426</v>
      </c>
      <c r="H13" s="251">
        <f>H12-(Projeções!I13+Projeções!I21+Projeções!I22+Projeções!I23)</f>
        <v>26441459</v>
      </c>
      <c r="I13" s="251">
        <f>H13/((1+Parâmetros!E14)*(1+Parâmetros!F14)*(1+Parâmetros!G14))</f>
        <v>22612126.323345102</v>
      </c>
      <c r="J13" s="252">
        <f>H13/(Parâmetros!G22)/1000</f>
        <v>0.00012021577176631053</v>
      </c>
    </row>
    <row r="14" spans="1:10" ht="15.75">
      <c r="A14" s="79" t="s">
        <v>118</v>
      </c>
      <c r="B14" s="251">
        <f>Projeções!G44</f>
        <v>23215000</v>
      </c>
      <c r="C14" s="251">
        <f>B14/(1+Parâmetros!E14)</f>
        <v>22031887.634051435</v>
      </c>
      <c r="D14" s="252">
        <f>B14/(Parâmetros!E22)/1000</f>
        <v>0.0001271915406530791</v>
      </c>
      <c r="E14" s="251">
        <f>Projeções!H44</f>
        <v>25116810.000000004</v>
      </c>
      <c r="F14" s="251">
        <f>E14/((1+Parâmetros!E14)*(1+Parâmetros!F14))</f>
        <v>22658531.53345932</v>
      </c>
      <c r="G14" s="252">
        <f>E14/(Parâmetros!F22)/1000</f>
        <v>0.00012718466906012167</v>
      </c>
      <c r="H14" s="251">
        <f>Projeções!I44</f>
        <v>26693491</v>
      </c>
      <c r="I14" s="251">
        <f>H14/((1+Parâmetros!E14)*(1+Parâmetros!F14)*(1+Parâmetros!G14))</f>
        <v>22827658.281000134</v>
      </c>
      <c r="J14" s="252">
        <f>H14/(Parâmetros!G22)/1000</f>
        <v>0.0001213616321891339</v>
      </c>
    </row>
    <row r="15" spans="1:10" ht="15.75">
      <c r="A15" s="79" t="s">
        <v>232</v>
      </c>
      <c r="B15" s="251">
        <f>B14-(Projeções!G35+Projeções!G41+Projeções!G42)</f>
        <v>23079000</v>
      </c>
      <c r="C15" s="251">
        <f>B15/(1+Parâmetros!E14)</f>
        <v>21902818.63908133</v>
      </c>
      <c r="D15" s="252">
        <f>B15/(Parâmetros!E22)/1000</f>
        <v>0.00012644641683103223</v>
      </c>
      <c r="E15" s="251">
        <f>E14-(Projeções!H35+Projeções!H41+Projeções!H42)</f>
        <v>24853810.000000004</v>
      </c>
      <c r="F15" s="251">
        <f>E15/((1+Parâmetros!E14)*(1+Parâmetros!F14))</f>
        <v>22421272.35152898</v>
      </c>
      <c r="G15" s="252">
        <f>E15/(Parâmetros!F22)/1000</f>
        <v>0.00012585290885797767</v>
      </c>
      <c r="H15" s="251">
        <f>H14-(Projeções!I35+Projeções!I41+Projeções!I42)</f>
        <v>26404191</v>
      </c>
      <c r="I15" s="251">
        <f>H15/((1+Parâmetros!E14)*(1+Parâmetros!F14)*(1+Parâmetros!G14))</f>
        <v>22580255.588684868</v>
      </c>
      <c r="J15" s="252">
        <f>H15/(Parâmetros!G22)/1000</f>
        <v>0.00012004633325755853</v>
      </c>
    </row>
    <row r="16" spans="1:10" ht="15.75">
      <c r="A16" s="79" t="s">
        <v>119</v>
      </c>
      <c r="B16" s="251">
        <f>B13-B15</f>
        <v>-1537300</v>
      </c>
      <c r="C16" s="251">
        <f>C13-C15</f>
        <v>-1458954.1615260504</v>
      </c>
      <c r="D16" s="252">
        <f>B16/(Parâmetros!E22)/1000</f>
        <v>-8.422638614946308E-06</v>
      </c>
      <c r="E16" s="251">
        <f>E13-E15</f>
        <v>1003879.9999999963</v>
      </c>
      <c r="F16" s="251">
        <f>F13-F15</f>
        <v>905626.4165636115</v>
      </c>
      <c r="G16" s="252">
        <f>E16/(Parâmetros!F22)/1000</f>
        <v>5.0833742651266E-06</v>
      </c>
      <c r="H16" s="251">
        <f>H13-H15</f>
        <v>37268</v>
      </c>
      <c r="I16" s="251">
        <f>I13-I15</f>
        <v>31870.734660234302</v>
      </c>
      <c r="J16" s="252">
        <f>H16/(Parâmetros!G22)/1000</f>
        <v>1.6943850875198908E-07</v>
      </c>
    </row>
    <row r="17" spans="1:10" ht="15.75">
      <c r="A17" s="79" t="s">
        <v>120</v>
      </c>
      <c r="B17" s="251">
        <f>Dívida!F10</f>
        <v>-323260</v>
      </c>
      <c r="C17" s="251">
        <f>B17/(1+Parâmetros!E14)</f>
        <v>-306785.6126032077</v>
      </c>
      <c r="D17" s="252">
        <f>B17/(Parâmetros!E22)/1000</f>
        <v>-1.7710935787858866E-06</v>
      </c>
      <c r="E17" s="251">
        <f>Dívida!G10</f>
        <v>-1441999.9999999963</v>
      </c>
      <c r="F17" s="251">
        <f>E17/((1+Parâmetros!E14)*(1+Parâmetros!F14))</f>
        <v>-1300865.9328652106</v>
      </c>
      <c r="G17" s="252">
        <f>E17/(Parâmetros!F22)/1000</f>
        <v>-7.301894340272308E-06</v>
      </c>
      <c r="H17" s="251">
        <f>Dívida!H10</f>
        <v>-486200</v>
      </c>
      <c r="I17" s="251">
        <f>H17/((1+Parâmetros!E14)*(1+Parâmetros!F14)*(1+Parâmetros!G14))</f>
        <v>-415787.0342332618</v>
      </c>
      <c r="J17" s="252">
        <f>H17/(Parâmetros!G22)/1000</f>
        <v>-2.210502386906115E-06</v>
      </c>
    </row>
    <row r="18" spans="1:10" ht="15.75">
      <c r="A18" s="79" t="s">
        <v>121</v>
      </c>
      <c r="B18" s="251">
        <f>Dívida!F7</f>
        <v>1597114</v>
      </c>
      <c r="C18" s="251">
        <f>B18/(1+Parâmetros!E14)</f>
        <v>1515719.8443579765</v>
      </c>
      <c r="D18" s="252">
        <f>B18/(Parâmetros!E22)/1000</f>
        <v>8.750350646504492E-06</v>
      </c>
      <c r="E18" s="251">
        <f>Dívida!G7</f>
        <v>1399114</v>
      </c>
      <c r="F18" s="251">
        <f>E18/((1+Parâmetros!E14)*(1+Parâmetros!F14))</f>
        <v>1262177.3500657289</v>
      </c>
      <c r="G18" s="252">
        <f>E18/(Parâmetros!F22)/1000</f>
        <v>7.084731343963784E-06</v>
      </c>
      <c r="H18" s="251">
        <f>Dívida!H7</f>
        <v>1181314</v>
      </c>
      <c r="I18" s="251">
        <f>H18/((1+Parâmetros!E14)*(1+Parâmetros!F14)*(1+Parâmetros!G14))</f>
        <v>1010232.5062900687</v>
      </c>
      <c r="J18" s="252">
        <f>H18/(Parâmetros!G22)/1000</f>
        <v>5.370829734030461E-06</v>
      </c>
    </row>
    <row r="19" spans="1:10" ht="15.75">
      <c r="A19" s="81" t="s">
        <v>122</v>
      </c>
      <c r="B19" s="251">
        <f>Dívida!F9</f>
        <v>883854</v>
      </c>
      <c r="C19" s="251">
        <f>B19/(1+Parâmetros!E14)</f>
        <v>838809.9079434373</v>
      </c>
      <c r="D19" s="252">
        <f>B19/(Parâmetros!E22)/1000</f>
        <v>4.84250493096647E-06</v>
      </c>
      <c r="E19" s="251">
        <f>Dívida!G9</f>
        <v>-558145.9999999963</v>
      </c>
      <c r="F19" s="251">
        <f>E19/((1+Parâmetros!E14)*(1+Parâmetros!F14))</f>
        <v>-503518.1116262017</v>
      </c>
      <c r="G19" s="252">
        <f>E19/(Parâmetros!F22)/1000</f>
        <v>-2.8262989725697716E-06</v>
      </c>
      <c r="H19" s="251">
        <f>Dívida!H9</f>
        <v>-1044345.9999999963</v>
      </c>
      <c r="I19" s="251">
        <f>H19/((1+Parâmetros!E14)*(1+Parâmetros!F14)*(1+Parâmetros!G14))</f>
        <v>-893100.6294803959</v>
      </c>
      <c r="J19" s="252">
        <f>H19/(Parâmetros!G22)/1000</f>
        <v>-4.748106387815395E-06</v>
      </c>
    </row>
    <row r="20" spans="1:10" ht="12.75">
      <c r="A20" s="332" t="s">
        <v>298</v>
      </c>
      <c r="B20" s="332"/>
      <c r="C20" s="332"/>
      <c r="D20" s="332"/>
      <c r="E20" s="332"/>
      <c r="F20" s="332"/>
      <c r="G20" s="332"/>
      <c r="H20" s="332"/>
      <c r="I20" s="332"/>
      <c r="J20" s="332"/>
    </row>
    <row r="21" ht="12.75">
      <c r="A21" s="326" t="s">
        <v>323</v>
      </c>
    </row>
  </sheetData>
  <mergeCells count="14">
    <mergeCell ref="A1:J1"/>
    <mergeCell ref="A2:J2"/>
    <mergeCell ref="A3:J3"/>
    <mergeCell ref="A4:J4"/>
    <mergeCell ref="A5:J5"/>
    <mergeCell ref="A6:J6"/>
    <mergeCell ref="A20:J20"/>
    <mergeCell ref="B7:D7"/>
    <mergeCell ref="E7:G7"/>
    <mergeCell ref="H7:J7"/>
    <mergeCell ref="A8:A11"/>
    <mergeCell ref="B8:D8"/>
    <mergeCell ref="E8:G8"/>
    <mergeCell ref="H8:J8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G24"/>
  <sheetViews>
    <sheetView zoomScale="90" zoomScaleNormal="90" workbookViewId="0" topLeftCell="A1">
      <selection activeCell="B11" sqref="B11"/>
    </sheetView>
  </sheetViews>
  <sheetFormatPr defaultColWidth="9.140625" defaultRowHeight="12.75"/>
  <cols>
    <col min="1" max="1" width="20.7109375" style="109" customWidth="1"/>
    <col min="2" max="2" width="20.140625" style="109" customWidth="1"/>
    <col min="3" max="3" width="9.7109375" style="109" customWidth="1"/>
    <col min="4" max="4" width="19.421875" style="109" customWidth="1"/>
    <col min="5" max="5" width="9.7109375" style="109" customWidth="1"/>
    <col min="6" max="6" width="15.140625" style="109" customWidth="1"/>
    <col min="7" max="7" width="14.28125" style="109" customWidth="1"/>
    <col min="8" max="16384" width="9.140625" style="109" customWidth="1"/>
  </cols>
  <sheetData>
    <row r="1" spans="1:7" ht="12.75">
      <c r="A1" s="378" t="str">
        <f>DADOS!A3</f>
        <v>MUNICIPIO DE QUILOMBO</v>
      </c>
      <c r="B1" s="364"/>
      <c r="C1" s="364"/>
      <c r="D1" s="364"/>
      <c r="E1" s="364"/>
      <c r="F1" s="364"/>
      <c r="G1" s="365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233</v>
      </c>
      <c r="B3" s="364"/>
      <c r="C3" s="364"/>
      <c r="D3" s="364"/>
      <c r="E3" s="364"/>
      <c r="F3" s="364"/>
      <c r="G3" s="365"/>
    </row>
    <row r="4" spans="1:7" ht="12.75">
      <c r="A4" s="379" t="s">
        <v>234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2.75" customHeight="1">
      <c r="A7" s="110" t="s">
        <v>123</v>
      </c>
      <c r="B7" s="111"/>
      <c r="C7" s="111"/>
      <c r="D7" s="111"/>
      <c r="E7" s="111"/>
      <c r="F7" s="367">
        <v>1</v>
      </c>
      <c r="G7" s="368"/>
    </row>
    <row r="8" spans="1:7" ht="10.5" customHeight="1">
      <c r="A8" s="369" t="s">
        <v>105</v>
      </c>
      <c r="B8" s="372" t="s">
        <v>213</v>
      </c>
      <c r="C8" s="372" t="s">
        <v>107</v>
      </c>
      <c r="D8" s="372" t="s">
        <v>214</v>
      </c>
      <c r="E8" s="372" t="s">
        <v>107</v>
      </c>
      <c r="F8" s="374" t="s">
        <v>124</v>
      </c>
      <c r="G8" s="375"/>
    </row>
    <row r="9" spans="1:7" ht="12.75" customHeight="1">
      <c r="A9" s="370"/>
      <c r="B9" s="373"/>
      <c r="C9" s="373"/>
      <c r="D9" s="373"/>
      <c r="E9" s="373"/>
      <c r="F9" s="376"/>
      <c r="G9" s="377"/>
    </row>
    <row r="10" spans="1:7" ht="22.5" customHeight="1">
      <c r="A10" s="371"/>
      <c r="B10" s="113">
        <f>DADOS!E32-2</f>
        <v>2010</v>
      </c>
      <c r="C10" s="113"/>
      <c r="D10" s="113">
        <f>B10</f>
        <v>2010</v>
      </c>
      <c r="E10" s="113"/>
      <c r="F10" s="114" t="s">
        <v>223</v>
      </c>
      <c r="G10" s="112" t="s">
        <v>125</v>
      </c>
    </row>
    <row r="11" spans="1:7" ht="15">
      <c r="A11" s="115" t="s">
        <v>54</v>
      </c>
      <c r="B11" s="253">
        <f>Plano!E42</f>
        <v>16638190</v>
      </c>
      <c r="C11" s="254">
        <f>B11/(Parâmetros!C22)/1000</f>
        <v>0.00010894999803554356</v>
      </c>
      <c r="D11" s="255">
        <f>Plano!E22</f>
        <v>17737590.990000002</v>
      </c>
      <c r="E11" s="254">
        <f>D11/(Parâmetros!E22)/1000</f>
        <v>9.718162935568705E-05</v>
      </c>
      <c r="F11" s="256">
        <f aca="true" t="shared" si="0" ref="F11:F18">D11-B11</f>
        <v>1099400.990000002</v>
      </c>
      <c r="G11" s="257">
        <f aca="true" t="shared" si="1" ref="G11:G18">(F11/B11)</f>
        <v>0.06607695849127833</v>
      </c>
    </row>
    <row r="12" spans="1:7" ht="15">
      <c r="A12" s="115" t="s">
        <v>235</v>
      </c>
      <c r="B12" s="253">
        <f>B11-(Plano!E43+Plano!E44+Plano!E45+Plano!E46)</f>
        <v>16445100</v>
      </c>
      <c r="C12" s="254">
        <f>B12/(Parâmetros!C22)/1000</f>
        <v>0.0001076856083921579</v>
      </c>
      <c r="D12" s="255">
        <f>D11-(Plano!E7+Plano!E15+Plano!E16+Plano!E17)</f>
        <v>17519036.64</v>
      </c>
      <c r="E12" s="254">
        <f>D12/(Parâmetros!E22)/1000</f>
        <v>9.598420249835635E-05</v>
      </c>
      <c r="F12" s="256">
        <f t="shared" si="0"/>
        <v>1073936.6400000006</v>
      </c>
      <c r="G12" s="257">
        <f t="shared" si="1"/>
        <v>0.0653043544885711</v>
      </c>
    </row>
    <row r="13" spans="1:7" ht="15">
      <c r="A13" s="115" t="s">
        <v>55</v>
      </c>
      <c r="B13" s="253">
        <f>Plano!E47</f>
        <v>16638190</v>
      </c>
      <c r="C13" s="254">
        <f>B13/(Parâmetros!C22)/1000</f>
        <v>0.00010894999803554356</v>
      </c>
      <c r="D13" s="255">
        <f>Plano!E39</f>
        <v>17620963.12</v>
      </c>
      <c r="E13" s="254">
        <f>D13/(Parâmetros!E22)/1000</f>
        <v>9.654264255971949E-05</v>
      </c>
      <c r="F13" s="256">
        <f t="shared" si="0"/>
        <v>982773.120000001</v>
      </c>
      <c r="G13" s="257">
        <f t="shared" si="1"/>
        <v>0.05906730960519149</v>
      </c>
    </row>
    <row r="14" spans="1:7" ht="15">
      <c r="A14" s="115" t="s">
        <v>236</v>
      </c>
      <c r="B14" s="253">
        <f>B13-(Plano!E48+Plano!E49+Plano!E50)</f>
        <v>16200190</v>
      </c>
      <c r="C14" s="254">
        <f>B14/(Parâmetros!C22)/1000</f>
        <v>0.00010608189164058305</v>
      </c>
      <c r="D14" s="255">
        <f>D13-(Plano!E28+Plano!E33+Plano!E35)</f>
        <v>17203508.92</v>
      </c>
      <c r="E14" s="254">
        <f>D14/(Parâmetros!E22)/1000</f>
        <v>9.425547293447295E-05</v>
      </c>
      <c r="F14" s="256">
        <f t="shared" si="0"/>
        <v>1003318.9200000018</v>
      </c>
      <c r="G14" s="257">
        <f t="shared" si="1"/>
        <v>0.06193254029736699</v>
      </c>
    </row>
    <row r="15" spans="1:7" ht="15">
      <c r="A15" s="115" t="s">
        <v>126</v>
      </c>
      <c r="B15" s="253">
        <f>B12-B14</f>
        <v>244910</v>
      </c>
      <c r="C15" s="254">
        <f>B15/(Parâmetros!C22)/1000</f>
        <v>1.6037167515748392E-06</v>
      </c>
      <c r="D15" s="255">
        <f>D12-D14</f>
        <v>315527.7199999988</v>
      </c>
      <c r="E15" s="254">
        <f>D15/(Parâmetros!E22)/1000</f>
        <v>1.7287295638834035E-06</v>
      </c>
      <c r="F15" s="256">
        <f t="shared" si="0"/>
        <v>70617.71999999881</v>
      </c>
      <c r="G15" s="257">
        <f t="shared" si="1"/>
        <v>0.28834151320892903</v>
      </c>
    </row>
    <row r="16" spans="1:7" ht="15">
      <c r="A16" s="115" t="s">
        <v>49</v>
      </c>
      <c r="B16" s="118">
        <f>Dívida!D10</f>
        <v>-148823</v>
      </c>
      <c r="C16" s="116">
        <f>B16/(Parâmetros!C22)/1000</f>
        <v>-9.74521000039289E-07</v>
      </c>
      <c r="D16" s="255">
        <f>Dívida!D10</f>
        <v>-148823</v>
      </c>
      <c r="E16" s="254">
        <f>D16/(Parâmetros!E22)/1000</f>
        <v>-8.153791365329828E-07</v>
      </c>
      <c r="F16" s="256">
        <f t="shared" si="0"/>
        <v>0</v>
      </c>
      <c r="G16" s="257">
        <f t="shared" si="1"/>
        <v>0</v>
      </c>
    </row>
    <row r="17" spans="1:7" ht="15">
      <c r="A17" s="115" t="s">
        <v>127</v>
      </c>
      <c r="B17" s="118">
        <f>Dívida!D7</f>
        <v>364716</v>
      </c>
      <c r="C17" s="116">
        <f>B17/(Parâmetros!C22)/1000</f>
        <v>2.3882289770420525E-06</v>
      </c>
      <c r="D17" s="255">
        <f>Dívida!D7</f>
        <v>364716</v>
      </c>
      <c r="E17" s="254">
        <f>D17/(Parâmetros!E22)/1000</f>
        <v>1.998224852071006E-06</v>
      </c>
      <c r="F17" s="256">
        <f t="shared" si="0"/>
        <v>0</v>
      </c>
      <c r="G17" s="257">
        <f t="shared" si="1"/>
        <v>0</v>
      </c>
    </row>
    <row r="18" spans="1:7" ht="15">
      <c r="A18" s="117" t="s">
        <v>128</v>
      </c>
      <c r="B18" s="118">
        <f>Dívida!D9</f>
        <v>-458452</v>
      </c>
      <c r="C18" s="116">
        <f>B18/(Parâmetros!C22)/1000</f>
        <v>-3.002029938316068E-06</v>
      </c>
      <c r="D18" s="255">
        <f>Dívida!D9</f>
        <v>-458452</v>
      </c>
      <c r="E18" s="254">
        <f>D18/(Parâmetros!E22)/1000</f>
        <v>-2.5117904887135656E-06</v>
      </c>
      <c r="F18" s="256">
        <f t="shared" si="0"/>
        <v>0</v>
      </c>
      <c r="G18" s="257">
        <f t="shared" si="1"/>
        <v>0</v>
      </c>
    </row>
    <row r="19" spans="1:7" ht="12.75">
      <c r="A19" s="366"/>
      <c r="B19" s="366"/>
      <c r="C19" s="366"/>
      <c r="D19" s="366"/>
      <c r="E19" s="366"/>
      <c r="F19" s="366"/>
      <c r="G19" s="366"/>
    </row>
    <row r="21" ht="12.75">
      <c r="A21" s="109" t="s">
        <v>272</v>
      </c>
    </row>
    <row r="22" ht="12.75">
      <c r="A22" s="109" t="s">
        <v>299</v>
      </c>
    </row>
    <row r="23" ht="12.75">
      <c r="A23" s="297" t="s">
        <v>300</v>
      </c>
    </row>
    <row r="24" ht="12.75">
      <c r="A24" s="327" t="s">
        <v>323</v>
      </c>
    </row>
  </sheetData>
  <mergeCells count="14">
    <mergeCell ref="A1:G1"/>
    <mergeCell ref="A2:G2"/>
    <mergeCell ref="A3:G3"/>
    <mergeCell ref="A4:G4"/>
    <mergeCell ref="A5:G5"/>
    <mergeCell ref="A6:G6"/>
    <mergeCell ref="A19:G19"/>
    <mergeCell ref="F7:G7"/>
    <mergeCell ref="A8:A10"/>
    <mergeCell ref="B8:B9"/>
    <mergeCell ref="C8:C9"/>
    <mergeCell ref="D8:D9"/>
    <mergeCell ref="E8:E9"/>
    <mergeCell ref="F8:G9"/>
  </mergeCells>
  <hyperlinks>
    <hyperlink ref="A24" location="DADOS!A1" display="DADOS!A1"/>
  </hyperlinks>
  <printOptions/>
  <pageMargins left="0.75" right="0.75" top="1" bottom="1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L35"/>
  <sheetViews>
    <sheetView zoomScale="85" zoomScaleNormal="85" workbookViewId="0" topLeftCell="A1">
      <selection activeCell="E14" sqref="E14"/>
    </sheetView>
  </sheetViews>
  <sheetFormatPr defaultColWidth="9.140625" defaultRowHeight="12.75"/>
  <cols>
    <col min="1" max="1" width="25.28125" style="298" customWidth="1"/>
    <col min="2" max="2" width="11.28125" style="298" customWidth="1"/>
    <col min="3" max="3" width="10.28125" style="298" bestFit="1" customWidth="1"/>
    <col min="4" max="4" width="9.140625" style="298" bestFit="1" customWidth="1"/>
    <col min="5" max="5" width="9.57421875" style="298" customWidth="1"/>
    <col min="6" max="6" width="9.140625" style="298" bestFit="1" customWidth="1"/>
    <col min="7" max="7" width="10.57421875" style="298" bestFit="1" customWidth="1"/>
    <col min="8" max="8" width="10.7109375" style="298" bestFit="1" customWidth="1"/>
    <col min="9" max="9" width="10.57421875" style="298" bestFit="1" customWidth="1"/>
    <col min="10" max="10" width="10.7109375" style="298" bestFit="1" customWidth="1"/>
    <col min="11" max="11" width="10.57421875" style="298" bestFit="1" customWidth="1"/>
    <col min="12" max="12" width="9.7109375" style="298" customWidth="1"/>
    <col min="13" max="16384" width="9.140625" style="298" customWidth="1"/>
  </cols>
  <sheetData>
    <row r="1" spans="1:12" ht="12.75" customHeight="1">
      <c r="A1" s="378" t="str">
        <f>DADOS!A3</f>
        <v>MUNICIPIO DE QUILOMBO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1.25">
      <c r="A2" s="363" t="s">
        <v>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1.25">
      <c r="A3" s="363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1:12" ht="11.25">
      <c r="A4" s="379" t="s">
        <v>237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1"/>
    </row>
    <row r="5" spans="1:12" ht="11.25">
      <c r="A5" s="363" t="str">
        <f>DADOS!A17</f>
        <v>Exercício de 2012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</row>
    <row r="6" spans="1:12" ht="11.25">
      <c r="A6" s="363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</row>
    <row r="7" spans="1:12" ht="11.25">
      <c r="A7" s="299" t="s">
        <v>129</v>
      </c>
      <c r="B7" s="299" t="s">
        <v>130</v>
      </c>
      <c r="C7" s="299"/>
      <c r="D7" s="299"/>
      <c r="E7" s="299"/>
      <c r="F7" s="299"/>
      <c r="G7" s="299"/>
      <c r="H7" s="299"/>
      <c r="I7" s="299"/>
      <c r="J7" s="299"/>
      <c r="K7" s="299"/>
      <c r="L7" s="300">
        <v>1</v>
      </c>
    </row>
    <row r="8" spans="1:12" ht="15.75" customHeight="1">
      <c r="A8" s="301" t="s">
        <v>105</v>
      </c>
      <c r="B8" s="386" t="s">
        <v>131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</row>
    <row r="9" spans="1:12" s="302" customFormat="1" ht="15.75" customHeight="1">
      <c r="A9" s="387"/>
      <c r="B9" s="383">
        <f>DADOS!E32-4</f>
        <v>2008</v>
      </c>
      <c r="C9" s="383">
        <f>B9+1</f>
        <v>2009</v>
      </c>
      <c r="D9" s="383" t="s">
        <v>225</v>
      </c>
      <c r="E9" s="383">
        <f>C9+1</f>
        <v>2010</v>
      </c>
      <c r="F9" s="383" t="s">
        <v>225</v>
      </c>
      <c r="G9" s="372">
        <f>E9+1</f>
        <v>2011</v>
      </c>
      <c r="H9" s="372" t="s">
        <v>225</v>
      </c>
      <c r="I9" s="372">
        <f>G9+1</f>
        <v>2012</v>
      </c>
      <c r="J9" s="372" t="s">
        <v>226</v>
      </c>
      <c r="K9" s="372">
        <f>I9+1</f>
        <v>2013</v>
      </c>
      <c r="L9" s="374" t="s">
        <v>225</v>
      </c>
    </row>
    <row r="10" spans="1:12" s="302" customFormat="1" ht="15.75" customHeight="1">
      <c r="A10" s="388"/>
      <c r="B10" s="384"/>
      <c r="C10" s="384"/>
      <c r="D10" s="384"/>
      <c r="E10" s="384"/>
      <c r="F10" s="384"/>
      <c r="G10" s="382"/>
      <c r="H10" s="382"/>
      <c r="I10" s="382"/>
      <c r="J10" s="382"/>
      <c r="K10" s="382"/>
      <c r="L10" s="376"/>
    </row>
    <row r="11" spans="1:12" ht="11.25">
      <c r="A11" s="303" t="s">
        <v>132</v>
      </c>
      <c r="B11" s="304">
        <f>Plano!D42</f>
        <v>18400000</v>
      </c>
      <c r="C11" s="304">
        <f>Plano!E42</f>
        <v>16638190</v>
      </c>
      <c r="D11" s="305">
        <f aca="true" t="shared" si="0" ref="D11:D18">(C11/B11)-1</f>
        <v>-0.09575054347826084</v>
      </c>
      <c r="E11" s="304">
        <f>Plano!F42</f>
        <v>20910000</v>
      </c>
      <c r="F11" s="305">
        <f aca="true" t="shared" si="1" ref="F11:F18">(E11/C11)-1</f>
        <v>0.2567472783998741</v>
      </c>
      <c r="G11" s="306">
        <f>Metas!B12</f>
        <v>23215000</v>
      </c>
      <c r="H11" s="307">
        <f aca="true" t="shared" si="2" ref="H11:H18">(G11/E11)-1</f>
        <v>0.11023433763749413</v>
      </c>
      <c r="I11" s="306">
        <f>Metas!E12</f>
        <v>26116810</v>
      </c>
      <c r="J11" s="307">
        <f aca="true" t="shared" si="3" ref="J11:J18">(I11/G11)-1</f>
        <v>0.12499720008615123</v>
      </c>
      <c r="K11" s="306">
        <f>Metas!H12</f>
        <v>26693491</v>
      </c>
      <c r="L11" s="307">
        <f aca="true" t="shared" si="4" ref="L11:L17">(K11/I11)-1</f>
        <v>0.022080836059227726</v>
      </c>
    </row>
    <row r="12" spans="1:12" ht="11.25">
      <c r="A12" s="303" t="s">
        <v>240</v>
      </c>
      <c r="B12" s="304">
        <f>B11-(Plano!D43+Plano!D44+Plano!D45+Plano!D46)</f>
        <v>17793000</v>
      </c>
      <c r="C12" s="304">
        <f>C11-(Plano!E43+Plano!E44+Plano!E45+Plano!E46)</f>
        <v>16445100</v>
      </c>
      <c r="D12" s="305">
        <f t="shared" si="0"/>
        <v>-0.07575451020064072</v>
      </c>
      <c r="E12" s="304">
        <f>E11-(Plano!F43+Plano!F44+Plano!F45+Plano!F46)</f>
        <v>19358410</v>
      </c>
      <c r="F12" s="305">
        <f t="shared" si="1"/>
        <v>0.1771536810356884</v>
      </c>
      <c r="G12" s="308">
        <f>Metas!B13</f>
        <v>21541700</v>
      </c>
      <c r="H12" s="307">
        <f t="shared" si="2"/>
        <v>0.1127825064145247</v>
      </c>
      <c r="I12" s="308">
        <f>Metas!E13</f>
        <v>25857690</v>
      </c>
      <c r="J12" s="307">
        <f t="shared" si="3"/>
        <v>0.20035512517582177</v>
      </c>
      <c r="K12" s="308">
        <f>Metas!H13</f>
        <v>26441459</v>
      </c>
      <c r="L12" s="307">
        <f t="shared" si="4"/>
        <v>0.022576223939570816</v>
      </c>
    </row>
    <row r="13" spans="1:12" ht="11.25">
      <c r="A13" s="303" t="s">
        <v>133</v>
      </c>
      <c r="B13" s="304">
        <f>Plano!D47</f>
        <v>18400000</v>
      </c>
      <c r="C13" s="304">
        <f>Plano!E47</f>
        <v>16638190</v>
      </c>
      <c r="D13" s="305">
        <f t="shared" si="0"/>
        <v>-0.09575054347826084</v>
      </c>
      <c r="E13" s="304">
        <f>Plano!F47</f>
        <v>20910000</v>
      </c>
      <c r="F13" s="305">
        <f t="shared" si="1"/>
        <v>0.2567472783998741</v>
      </c>
      <c r="G13" s="308">
        <f>Metas!B14</f>
        <v>23215000</v>
      </c>
      <c r="H13" s="307">
        <f t="shared" si="2"/>
        <v>0.11023433763749413</v>
      </c>
      <c r="I13" s="308">
        <f>Metas!E14</f>
        <v>25116810.000000004</v>
      </c>
      <c r="J13" s="307">
        <f t="shared" si="3"/>
        <v>0.08192160241223356</v>
      </c>
      <c r="K13" s="308">
        <f>Metas!H14</f>
        <v>26693491</v>
      </c>
      <c r="L13" s="307">
        <f t="shared" si="4"/>
        <v>0.06277393506579831</v>
      </c>
    </row>
    <row r="14" spans="1:12" ht="11.25">
      <c r="A14" s="303" t="s">
        <v>232</v>
      </c>
      <c r="B14" s="304">
        <f>B13-(Plano!D48+Plano!D49+Plano!D50)</f>
        <v>17950000</v>
      </c>
      <c r="C14" s="304">
        <f>C13-(Plano!E48+Plano!E49+Plano!E50)</f>
        <v>16200190</v>
      </c>
      <c r="D14" s="305">
        <f t="shared" si="0"/>
        <v>-0.09748245125348187</v>
      </c>
      <c r="E14" s="304">
        <f>E13-(Plano!F48+Plano!F49+Plano!F50)</f>
        <v>20467000</v>
      </c>
      <c r="F14" s="305">
        <f t="shared" si="1"/>
        <v>0.26338024430577667</v>
      </c>
      <c r="G14" s="308">
        <f>Metas!B15</f>
        <v>23079000</v>
      </c>
      <c r="H14" s="307">
        <f t="shared" si="2"/>
        <v>0.12762007133434317</v>
      </c>
      <c r="I14" s="308">
        <f>Metas!E15</f>
        <v>24853810.000000004</v>
      </c>
      <c r="J14" s="307">
        <f t="shared" si="3"/>
        <v>0.07690151219723584</v>
      </c>
      <c r="K14" s="308">
        <f>Metas!H15</f>
        <v>26404191</v>
      </c>
      <c r="L14" s="307">
        <f t="shared" si="4"/>
        <v>0.06238001336615984</v>
      </c>
    </row>
    <row r="15" spans="1:12" ht="11.25">
      <c r="A15" s="303" t="s">
        <v>134</v>
      </c>
      <c r="B15" s="304">
        <f>B12-B14</f>
        <v>-157000</v>
      </c>
      <c r="C15" s="304">
        <f>C12-C14</f>
        <v>244910</v>
      </c>
      <c r="D15" s="305">
        <f t="shared" si="0"/>
        <v>-2.559936305732484</v>
      </c>
      <c r="E15" s="304">
        <f>E12-E14</f>
        <v>-1108590</v>
      </c>
      <c r="F15" s="305">
        <f t="shared" si="1"/>
        <v>-5.52651994610265</v>
      </c>
      <c r="G15" s="308">
        <f>Metas!B16</f>
        <v>-1537300</v>
      </c>
      <c r="H15" s="307">
        <f t="shared" si="2"/>
        <v>0.386716459646939</v>
      </c>
      <c r="I15" s="308">
        <f>Metas!E16</f>
        <v>1003879.9999999963</v>
      </c>
      <c r="J15" s="307">
        <f t="shared" si="3"/>
        <v>-1.653015026344888</v>
      </c>
      <c r="K15" s="308">
        <f>Metas!H16</f>
        <v>37268</v>
      </c>
      <c r="L15" s="307">
        <f t="shared" si="4"/>
        <v>-0.9628760409610709</v>
      </c>
    </row>
    <row r="16" spans="1:12" ht="11.25">
      <c r="A16" s="303" t="s">
        <v>135</v>
      </c>
      <c r="B16" s="309">
        <f>C16</f>
        <v>-148823</v>
      </c>
      <c r="C16" s="309">
        <f>Dívida!D10</f>
        <v>-148823</v>
      </c>
      <c r="D16" s="305">
        <f t="shared" si="0"/>
        <v>0</v>
      </c>
      <c r="E16" s="309">
        <f>Dívida!E10</f>
        <v>1665566</v>
      </c>
      <c r="F16" s="305">
        <f t="shared" si="1"/>
        <v>-12.19159000960873</v>
      </c>
      <c r="G16" s="308">
        <f>Metas!B17</f>
        <v>-323260</v>
      </c>
      <c r="H16" s="307">
        <f t="shared" si="2"/>
        <v>-1.1940841731879734</v>
      </c>
      <c r="I16" s="308">
        <f>Metas!E17</f>
        <v>-1441999.9999999963</v>
      </c>
      <c r="J16" s="307">
        <f t="shared" si="3"/>
        <v>3.460805543525324</v>
      </c>
      <c r="K16" s="304">
        <f>Metas!H17</f>
        <v>-486200</v>
      </c>
      <c r="L16" s="307">
        <f t="shared" si="4"/>
        <v>-0.6628294036061018</v>
      </c>
    </row>
    <row r="17" spans="1:12" ht="11.25">
      <c r="A17" s="303" t="s">
        <v>136</v>
      </c>
      <c r="B17" s="309">
        <f>Dívida!C7</f>
        <v>465905</v>
      </c>
      <c r="C17" s="309">
        <f>Dívida!D7</f>
        <v>364716</v>
      </c>
      <c r="D17" s="305">
        <f t="shared" si="0"/>
        <v>-0.21718805335851732</v>
      </c>
      <c r="E17" s="309">
        <f>Dívida!E7</f>
        <v>1707114</v>
      </c>
      <c r="F17" s="305">
        <f t="shared" si="1"/>
        <v>3.6806666008620406</v>
      </c>
      <c r="G17" s="308">
        <f>Metas!B18</f>
        <v>1597114</v>
      </c>
      <c r="H17" s="307">
        <f t="shared" si="2"/>
        <v>-0.06443623565854417</v>
      </c>
      <c r="I17" s="308">
        <f>Metas!E18</f>
        <v>1399114</v>
      </c>
      <c r="J17" s="307">
        <f t="shared" si="3"/>
        <v>-0.12397361741240764</v>
      </c>
      <c r="K17" s="304">
        <f>Metas!H18</f>
        <v>1181314</v>
      </c>
      <c r="L17" s="307">
        <f t="shared" si="4"/>
        <v>-0.15566994540830836</v>
      </c>
    </row>
    <row r="18" spans="1:12" ht="11.25">
      <c r="A18" s="310" t="s">
        <v>128</v>
      </c>
      <c r="B18" s="311">
        <f>Dívida!C9</f>
        <v>-309629</v>
      </c>
      <c r="C18" s="311">
        <f>Dívida!D9</f>
        <v>-458452</v>
      </c>
      <c r="D18" s="305">
        <f t="shared" si="0"/>
        <v>0.4806494223732274</v>
      </c>
      <c r="E18" s="311">
        <f>Dívida!E9</f>
        <v>1207114</v>
      </c>
      <c r="F18" s="305">
        <f t="shared" si="1"/>
        <v>-3.6330215595089563</v>
      </c>
      <c r="G18" s="312">
        <f>Metas!B19</f>
        <v>883854</v>
      </c>
      <c r="H18" s="307">
        <f t="shared" si="2"/>
        <v>-0.2677957508570027</v>
      </c>
      <c r="I18" s="312">
        <f>Metas!E19</f>
        <v>-558145.9999999963</v>
      </c>
      <c r="J18" s="307">
        <f t="shared" si="3"/>
        <v>-1.6314911738816549</v>
      </c>
      <c r="K18" s="313">
        <f>Metas!H19</f>
        <v>-1044345.9999999963</v>
      </c>
      <c r="L18" s="307">
        <f>K18/I18</f>
        <v>1.871098243112023</v>
      </c>
    </row>
    <row r="19" spans="1:12" ht="11.25">
      <c r="A19" s="385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</row>
    <row r="20" spans="1:12" ht="15.75" customHeight="1">
      <c r="A20" s="314" t="s">
        <v>105</v>
      </c>
      <c r="B20" s="386" t="s">
        <v>137</v>
      </c>
      <c r="C20" s="385"/>
      <c r="D20" s="385"/>
      <c r="E20" s="385"/>
      <c r="F20" s="385"/>
      <c r="G20" s="385"/>
      <c r="H20" s="385"/>
      <c r="I20" s="385"/>
      <c r="J20" s="385"/>
      <c r="K20" s="385"/>
      <c r="L20" s="385"/>
    </row>
    <row r="21" spans="1:12" s="302" customFormat="1" ht="15.75" customHeight="1">
      <c r="A21" s="387"/>
      <c r="B21" s="383">
        <f>B9</f>
        <v>2008</v>
      </c>
      <c r="C21" s="383">
        <f>C9</f>
        <v>2009</v>
      </c>
      <c r="D21" s="383" t="s">
        <v>225</v>
      </c>
      <c r="E21" s="383">
        <f>E9</f>
        <v>2010</v>
      </c>
      <c r="F21" s="372" t="s">
        <v>225</v>
      </c>
      <c r="G21" s="383">
        <f>G9</f>
        <v>2011</v>
      </c>
      <c r="H21" s="372" t="s">
        <v>225</v>
      </c>
      <c r="I21" s="383">
        <f>I9</f>
        <v>2012</v>
      </c>
      <c r="J21" s="372" t="s">
        <v>225</v>
      </c>
      <c r="K21" s="383">
        <f>K9</f>
        <v>2013</v>
      </c>
      <c r="L21" s="374" t="s">
        <v>225</v>
      </c>
    </row>
    <row r="22" spans="1:12" s="302" customFormat="1" ht="15.75" customHeight="1">
      <c r="A22" s="388"/>
      <c r="B22" s="384"/>
      <c r="C22" s="384"/>
      <c r="D22" s="384"/>
      <c r="E22" s="384"/>
      <c r="F22" s="382"/>
      <c r="G22" s="384"/>
      <c r="H22" s="382"/>
      <c r="I22" s="384"/>
      <c r="J22" s="382"/>
      <c r="K22" s="384"/>
      <c r="L22" s="376"/>
    </row>
    <row r="23" spans="1:12" ht="11.25">
      <c r="A23" s="303" t="s">
        <v>132</v>
      </c>
      <c r="B23" s="306">
        <f>B11*((1+Parâmetros!C14)*(1+Parâmetros!D14))</f>
        <v>20327348.663999997</v>
      </c>
      <c r="C23" s="304">
        <f>C11*(1+Parâmetros!D14)</f>
        <v>17621507.029</v>
      </c>
      <c r="D23" s="305">
        <f aca="true" t="shared" si="5" ref="D23:D30">(C23/B23)-1</f>
        <v>-0.13311335775885413</v>
      </c>
      <c r="E23" s="304">
        <f>E11</f>
        <v>20910000</v>
      </c>
      <c r="F23" s="305">
        <f aca="true" t="shared" si="6" ref="F23:F30">(E23/C23)-1</f>
        <v>0.18661814597287707</v>
      </c>
      <c r="G23" s="306">
        <f>Metas!C12</f>
        <v>22031887.634051435</v>
      </c>
      <c r="H23" s="305">
        <f aca="true" t="shared" si="7" ref="H23:H30">(G23/E23)-1</f>
        <v>0.05365316279538179</v>
      </c>
      <c r="I23" s="306">
        <f>Metas!F12</f>
        <v>23560657.700494833</v>
      </c>
      <c r="J23" s="305">
        <f aca="true" t="shared" si="8" ref="J23:J30">(I23/G23)-1</f>
        <v>0.06938897346592321</v>
      </c>
      <c r="K23" s="306">
        <f>Metas!I12</f>
        <v>22827658.281000134</v>
      </c>
      <c r="L23" s="305">
        <f aca="true" t="shared" si="9" ref="L23:L30">(K23/I23)-1</f>
        <v>-0.031111161191366254</v>
      </c>
    </row>
    <row r="24" spans="1:12" ht="11.25">
      <c r="A24" s="303" t="s">
        <v>240</v>
      </c>
      <c r="B24" s="306">
        <f>B12*((1+Parâmetros!C14)*(1+Parâmetros!D14))</f>
        <v>19656767.107529994</v>
      </c>
      <c r="C24" s="304">
        <f>C12*(1+Parâmetros!D14)</f>
        <v>17417005.41</v>
      </c>
      <c r="D24" s="305">
        <f t="shared" si="5"/>
        <v>-0.1139435434767907</v>
      </c>
      <c r="E24" s="304">
        <f>E12</f>
        <v>19358410</v>
      </c>
      <c r="F24" s="305">
        <f t="shared" si="6"/>
        <v>0.11146603817929224</v>
      </c>
      <c r="G24" s="308">
        <f>Metas!C13</f>
        <v>20443864.47755528</v>
      </c>
      <c r="H24" s="305">
        <f t="shared" si="7"/>
        <v>0.056071468553216874</v>
      </c>
      <c r="I24" s="308">
        <f>Metas!F13</f>
        <v>23326898.76809259</v>
      </c>
      <c r="J24" s="305">
        <f t="shared" si="8"/>
        <v>0.14102198210629457</v>
      </c>
      <c r="K24" s="308">
        <f>Metas!I13</f>
        <v>22612126.323345102</v>
      </c>
      <c r="L24" s="305">
        <f t="shared" si="9"/>
        <v>-0.03064155470701413</v>
      </c>
    </row>
    <row r="25" spans="1:12" ht="11.25">
      <c r="A25" s="303" t="s">
        <v>133</v>
      </c>
      <c r="B25" s="306">
        <f>B13*((1+Parâmetros!C14)*(1+Parâmetros!D14))</f>
        <v>20327348.663999997</v>
      </c>
      <c r="C25" s="304">
        <f>C13*(1+Parâmetros!D14)</f>
        <v>17621507.029</v>
      </c>
      <c r="D25" s="305">
        <f t="shared" si="5"/>
        <v>-0.13311335775885413</v>
      </c>
      <c r="E25" s="304">
        <f>E13</f>
        <v>20910000</v>
      </c>
      <c r="F25" s="305">
        <f t="shared" si="6"/>
        <v>0.18661814597287707</v>
      </c>
      <c r="G25" s="308">
        <f>Metas!C14</f>
        <v>22031887.634051435</v>
      </c>
      <c r="H25" s="305">
        <f t="shared" si="7"/>
        <v>0.05365316279538179</v>
      </c>
      <c r="I25" s="308">
        <f>Metas!F14</f>
        <v>22658531.53345932</v>
      </c>
      <c r="J25" s="305">
        <f t="shared" si="8"/>
        <v>0.028442587844328626</v>
      </c>
      <c r="K25" s="308">
        <f>Metas!I14</f>
        <v>22827658.281000134</v>
      </c>
      <c r="L25" s="305">
        <f t="shared" si="9"/>
        <v>0.007464153062658463</v>
      </c>
    </row>
    <row r="26" spans="1:12" ht="11.25">
      <c r="A26" s="303" t="s">
        <v>232</v>
      </c>
      <c r="B26" s="306">
        <f>B14*((1+Parâmetros!C14)*(1+Parâmetros!D14))</f>
        <v>19830212.419499997</v>
      </c>
      <c r="C26" s="304">
        <f>C14*(1+Parâmetros!D14)</f>
        <v>17157621.229</v>
      </c>
      <c r="D26" s="305">
        <f t="shared" si="5"/>
        <v>-0.1347737045858325</v>
      </c>
      <c r="E26" s="304">
        <f>E14</f>
        <v>20467000</v>
      </c>
      <c r="F26" s="305">
        <f t="shared" si="6"/>
        <v>0.1928809784777421</v>
      </c>
      <c r="G26" s="308">
        <f>Metas!C15</f>
        <v>21902818.63908133</v>
      </c>
      <c r="H26" s="305">
        <f t="shared" si="7"/>
        <v>0.07015286261207443</v>
      </c>
      <c r="I26" s="308">
        <f>Metas!F15</f>
        <v>22421272.35152898</v>
      </c>
      <c r="J26" s="305">
        <f t="shared" si="8"/>
        <v>0.023670638970756608</v>
      </c>
      <c r="K26" s="308">
        <f>Metas!I15</f>
        <v>22580255.588684868</v>
      </c>
      <c r="L26" s="305">
        <f t="shared" si="9"/>
        <v>0.007090732170025538</v>
      </c>
    </row>
    <row r="27" spans="1:12" ht="11.25">
      <c r="A27" s="303" t="s">
        <v>134</v>
      </c>
      <c r="B27" s="306">
        <f>B24-B26</f>
        <v>-173445.31197000295</v>
      </c>
      <c r="C27" s="308">
        <f>C24-C26</f>
        <v>259384.18100000173</v>
      </c>
      <c r="D27" s="305">
        <f t="shared" si="5"/>
        <v>-2.495481071548718</v>
      </c>
      <c r="E27" s="308">
        <f>E24-E26</f>
        <v>-1108590</v>
      </c>
      <c r="F27" s="305">
        <f t="shared" si="6"/>
        <v>-5.273930644984062</v>
      </c>
      <c r="G27" s="308">
        <f>Metas!C16</f>
        <v>-1458954.1615260504</v>
      </c>
      <c r="H27" s="305">
        <f t="shared" si="7"/>
        <v>0.3160448511406835</v>
      </c>
      <c r="I27" s="308">
        <f>Metas!F16</f>
        <v>905626.4165636115</v>
      </c>
      <c r="J27" s="305">
        <f t="shared" si="8"/>
        <v>-1.6207367170578793</v>
      </c>
      <c r="K27" s="308">
        <f>Metas!I16</f>
        <v>31870.734660234302</v>
      </c>
      <c r="L27" s="305">
        <f t="shared" si="9"/>
        <v>-0.9648080775059904</v>
      </c>
    </row>
    <row r="28" spans="1:12" ht="11.25">
      <c r="A28" s="303" t="s">
        <v>135</v>
      </c>
      <c r="B28" s="306">
        <f>B16*((1+Parâmetros!C14)*(1+Parâmetros!D14))</f>
        <v>-164411.79403382997</v>
      </c>
      <c r="C28" s="304">
        <f>C16*(1+Parâmetros!D14)</f>
        <v>-157618.4393</v>
      </c>
      <c r="D28" s="305">
        <f t="shared" si="5"/>
        <v>-0.04131914485667698</v>
      </c>
      <c r="E28" s="304">
        <f>E16</f>
        <v>1665566</v>
      </c>
      <c r="F28" s="305">
        <f t="shared" si="6"/>
        <v>-11.567075828164224</v>
      </c>
      <c r="G28" s="308">
        <f>Metas!C17</f>
        <v>-306785.6126032077</v>
      </c>
      <c r="H28" s="305">
        <f t="shared" si="7"/>
        <v>-1.1841930086248205</v>
      </c>
      <c r="I28" s="308">
        <f>Metas!F17</f>
        <v>-1300865.9328652106</v>
      </c>
      <c r="J28" s="305">
        <f t="shared" si="8"/>
        <v>3.24030945202027</v>
      </c>
      <c r="K28" s="308">
        <f>Metas!I17</f>
        <v>-415787.0342332618</v>
      </c>
      <c r="L28" s="305">
        <f t="shared" si="9"/>
        <v>-0.6803767215907686</v>
      </c>
    </row>
    <row r="29" spans="1:12" ht="11.25">
      <c r="A29" s="303" t="s">
        <v>136</v>
      </c>
      <c r="B29" s="306">
        <f>B17*((1+Parâmetros!C14)*(1+Parâmetros!D14))</f>
        <v>514707.2488750499</v>
      </c>
      <c r="C29" s="304">
        <f>C17*(1+Parâmetros!D14)</f>
        <v>386270.7156</v>
      </c>
      <c r="D29" s="305">
        <f t="shared" si="5"/>
        <v>-0.24953317357733407</v>
      </c>
      <c r="E29" s="304">
        <f>E17</f>
        <v>1707114</v>
      </c>
      <c r="F29" s="305">
        <f t="shared" si="6"/>
        <v>3.419475593298122</v>
      </c>
      <c r="G29" s="308">
        <f>Metas!C18</f>
        <v>1515719.8443579765</v>
      </c>
      <c r="H29" s="305">
        <f t="shared" si="7"/>
        <v>-0.11211562651470464</v>
      </c>
      <c r="I29" s="308">
        <f>Metas!F18</f>
        <v>1262177.3500657289</v>
      </c>
      <c r="J29" s="305">
        <f t="shared" si="8"/>
        <v>-0.1672753017228209</v>
      </c>
      <c r="K29" s="308">
        <f>Metas!I18</f>
        <v>1010232.5062900687</v>
      </c>
      <c r="L29" s="305">
        <f t="shared" si="9"/>
        <v>-0.19961128581695742</v>
      </c>
    </row>
    <row r="30" spans="1:12" ht="11.25">
      <c r="A30" s="310" t="s">
        <v>128</v>
      </c>
      <c r="B30" s="306">
        <f>B18*((1+Parâmetros!C14)*(1+Parâmetros!D14))</f>
        <v>-342061.7738850899</v>
      </c>
      <c r="C30" s="304">
        <f>C18*(1+Parâmetros!D14)</f>
        <v>-485546.5132</v>
      </c>
      <c r="D30" s="305">
        <f t="shared" si="5"/>
        <v>0.41947025440823293</v>
      </c>
      <c r="E30" s="304">
        <f>E18</f>
        <v>1207114</v>
      </c>
      <c r="F30" s="305">
        <f t="shared" si="6"/>
        <v>-3.4860934373609256</v>
      </c>
      <c r="G30" s="312">
        <f>Metas!C19</f>
        <v>838809.9079434373</v>
      </c>
      <c r="H30" s="305">
        <f t="shared" si="7"/>
        <v>-0.30511127536965243</v>
      </c>
      <c r="I30" s="312">
        <f>Metas!F19</f>
        <v>-503518.1116262017</v>
      </c>
      <c r="J30" s="305">
        <f t="shared" si="8"/>
        <v>-1.6002767812563259</v>
      </c>
      <c r="K30" s="312">
        <f>Metas!I19</f>
        <v>-893100.6294803959</v>
      </c>
      <c r="L30" s="305">
        <f t="shared" si="9"/>
        <v>0.7737209622827028</v>
      </c>
    </row>
    <row r="31" spans="1:12" ht="11.25">
      <c r="A31" s="366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</row>
    <row r="33" ht="11.25">
      <c r="A33" s="298" t="s">
        <v>331</v>
      </c>
    </row>
    <row r="34" ht="11.25">
      <c r="A34" s="298" t="s">
        <v>332</v>
      </c>
    </row>
    <row r="35" ht="12.75">
      <c r="A35" s="325" t="s">
        <v>323</v>
      </c>
    </row>
  </sheetData>
  <sheetProtection/>
  <mergeCells count="34">
    <mergeCell ref="A1:L1"/>
    <mergeCell ref="A2:L2"/>
    <mergeCell ref="A3:L3"/>
    <mergeCell ref="A4:L4"/>
    <mergeCell ref="A5:L5"/>
    <mergeCell ref="A6:L6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G21:G22"/>
    <mergeCell ref="H21:H22"/>
    <mergeCell ref="A31:L31"/>
    <mergeCell ref="F21:F22"/>
    <mergeCell ref="I21:I22"/>
    <mergeCell ref="J21:J22"/>
    <mergeCell ref="K21:K22"/>
    <mergeCell ref="L21:L22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22"/>
  <sheetViews>
    <sheetView zoomScale="95" zoomScaleNormal="95" workbookViewId="0" topLeftCell="A1">
      <selection activeCell="A20" sqref="A20:G20"/>
    </sheetView>
  </sheetViews>
  <sheetFormatPr defaultColWidth="9.140625" defaultRowHeight="12.75"/>
  <cols>
    <col min="1" max="1" width="27.8515625" style="109" customWidth="1"/>
    <col min="2" max="2" width="16.28125" style="109" customWidth="1"/>
    <col min="3" max="3" width="12.8515625" style="109" customWidth="1"/>
    <col min="4" max="4" width="17.7109375" style="109" customWidth="1"/>
    <col min="5" max="5" width="14.00390625" style="109" customWidth="1"/>
    <col min="6" max="6" width="14.28125" style="109" customWidth="1"/>
    <col min="7" max="7" width="10.7109375" style="109" customWidth="1"/>
    <col min="8" max="16384" width="9.140625" style="109" customWidth="1"/>
  </cols>
  <sheetData>
    <row r="1" spans="1:7" ht="15">
      <c r="A1" s="378" t="str">
        <f>DADOS!A3</f>
        <v>MUNICIPIO DE QUILOMBO</v>
      </c>
      <c r="B1" s="389"/>
      <c r="C1" s="389"/>
      <c r="D1" s="389"/>
      <c r="E1" s="389"/>
      <c r="F1" s="389"/>
      <c r="G1" s="390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229</v>
      </c>
      <c r="B3" s="364"/>
      <c r="C3" s="364"/>
      <c r="D3" s="364"/>
      <c r="E3" s="364"/>
      <c r="F3" s="364"/>
      <c r="G3" s="365"/>
    </row>
    <row r="4" spans="1:7" ht="12.75">
      <c r="A4" s="379" t="s">
        <v>238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5">
      <c r="A7" s="315" t="s">
        <v>138</v>
      </c>
      <c r="B7" s="126"/>
      <c r="C7" s="126"/>
      <c r="D7" s="126"/>
      <c r="E7" s="126"/>
      <c r="F7" s="126"/>
      <c r="G7" s="124">
        <v>1</v>
      </c>
    </row>
    <row r="8" spans="1:7" s="120" customFormat="1" ht="25.5" customHeight="1">
      <c r="A8" s="316" t="s">
        <v>139</v>
      </c>
      <c r="B8" s="125">
        <f>DADOS!E32-2</f>
        <v>2010</v>
      </c>
      <c r="C8" s="125" t="s">
        <v>21</v>
      </c>
      <c r="D8" s="125">
        <f>B8-1</f>
        <v>2009</v>
      </c>
      <c r="E8" s="125" t="s">
        <v>21</v>
      </c>
      <c r="F8" s="125">
        <f>D8-1</f>
        <v>2008</v>
      </c>
      <c r="G8" s="112" t="s">
        <v>21</v>
      </c>
    </row>
    <row r="9" spans="1:7" ht="15">
      <c r="A9" s="317" t="s">
        <v>140</v>
      </c>
      <c r="B9" s="253">
        <f>D12</f>
        <v>11028583</v>
      </c>
      <c r="C9" s="258">
        <f>B9/B12</f>
        <v>0.847514411901584</v>
      </c>
      <c r="D9" s="253">
        <f>F12</f>
        <v>10469126</v>
      </c>
      <c r="E9" s="258">
        <f>D9/D12</f>
        <v>0.9492720869036394</v>
      </c>
      <c r="F9" s="293">
        <v>10469126</v>
      </c>
      <c r="G9" s="258">
        <f>F9/F12</f>
        <v>1</v>
      </c>
    </row>
    <row r="10" spans="1:7" ht="15">
      <c r="A10" s="317" t="s">
        <v>56</v>
      </c>
      <c r="B10" s="118"/>
      <c r="C10" s="258">
        <f>B10/B12</f>
        <v>0</v>
      </c>
      <c r="D10" s="118"/>
      <c r="E10" s="258">
        <f>D10/D12</f>
        <v>0</v>
      </c>
      <c r="F10" s="118"/>
      <c r="G10" s="258">
        <f>F10/F12</f>
        <v>0</v>
      </c>
    </row>
    <row r="11" spans="1:7" ht="15">
      <c r="A11" s="318" t="s">
        <v>141</v>
      </c>
      <c r="B11" s="119">
        <v>1984273</v>
      </c>
      <c r="C11" s="259">
        <f>B11/B12</f>
        <v>0.1524855880984159</v>
      </c>
      <c r="D11" s="119">
        <v>559457</v>
      </c>
      <c r="E11" s="259">
        <f>D11/D12</f>
        <v>0.05072791309636061</v>
      </c>
      <c r="F11" s="119"/>
      <c r="G11" s="259">
        <f>F11/F12</f>
        <v>0</v>
      </c>
    </row>
    <row r="12" spans="1:7" ht="15">
      <c r="A12" s="319" t="s">
        <v>142</v>
      </c>
      <c r="B12" s="260">
        <f>SUM(B9:B11)</f>
        <v>13012856</v>
      </c>
      <c r="C12" s="259">
        <f>B12/B12</f>
        <v>1</v>
      </c>
      <c r="D12" s="260">
        <f>SUM(D9:D11)</f>
        <v>11028583</v>
      </c>
      <c r="E12" s="259">
        <f>D12/D12</f>
        <v>1</v>
      </c>
      <c r="F12" s="260">
        <f>SUM(F9:F11)</f>
        <v>10469126</v>
      </c>
      <c r="G12" s="259">
        <f>F12/F12</f>
        <v>1</v>
      </c>
    </row>
    <row r="13" spans="1:7" ht="15">
      <c r="A13" s="391"/>
      <c r="B13" s="391"/>
      <c r="C13" s="391"/>
      <c r="D13" s="391"/>
      <c r="E13" s="391"/>
      <c r="F13" s="391"/>
      <c r="G13" s="391"/>
    </row>
    <row r="14" spans="1:7" ht="15.75" customHeight="1">
      <c r="A14" s="392" t="s">
        <v>143</v>
      </c>
      <c r="B14" s="392"/>
      <c r="C14" s="392"/>
      <c r="D14" s="392"/>
      <c r="E14" s="392"/>
      <c r="F14" s="392"/>
      <c r="G14" s="392"/>
    </row>
    <row r="15" spans="1:7" s="120" customFormat="1" ht="25.5" customHeight="1">
      <c r="A15" s="316" t="s">
        <v>139</v>
      </c>
      <c r="B15" s="125">
        <f>B8</f>
        <v>2010</v>
      </c>
      <c r="C15" s="125" t="s">
        <v>21</v>
      </c>
      <c r="D15" s="125">
        <f>D8</f>
        <v>2009</v>
      </c>
      <c r="E15" s="125" t="s">
        <v>21</v>
      </c>
      <c r="F15" s="125">
        <f>F8</f>
        <v>2008</v>
      </c>
      <c r="G15" s="112" t="s">
        <v>21</v>
      </c>
    </row>
    <row r="16" spans="1:7" ht="15">
      <c r="A16" s="317" t="s">
        <v>140</v>
      </c>
      <c r="B16" s="253">
        <f>D19</f>
        <v>0.1</v>
      </c>
      <c r="C16" s="258">
        <f>B16/B19</f>
        <v>1</v>
      </c>
      <c r="D16" s="253">
        <f>F19</f>
        <v>1</v>
      </c>
      <c r="E16" s="258">
        <f>D16/D19</f>
        <v>10</v>
      </c>
      <c r="F16" s="293">
        <v>1</v>
      </c>
      <c r="G16" s="258">
        <f>F16/F19</f>
        <v>1</v>
      </c>
    </row>
    <row r="17" spans="1:7" ht="15">
      <c r="A17" s="317" t="s">
        <v>56</v>
      </c>
      <c r="B17" s="118">
        <v>0</v>
      </c>
      <c r="C17" s="258">
        <f>B17/B19</f>
        <v>0</v>
      </c>
      <c r="D17" s="118">
        <v>0</v>
      </c>
      <c r="E17" s="258">
        <f>D17/D19</f>
        <v>0</v>
      </c>
      <c r="F17" s="118">
        <v>0</v>
      </c>
      <c r="G17" s="258">
        <f>F17/F19</f>
        <v>0</v>
      </c>
    </row>
    <row r="18" spans="1:7" ht="15">
      <c r="A18" s="318" t="s">
        <v>141</v>
      </c>
      <c r="B18" s="119">
        <v>0</v>
      </c>
      <c r="C18" s="259">
        <f>B18/B19</f>
        <v>0</v>
      </c>
      <c r="D18" s="119">
        <v>0</v>
      </c>
      <c r="E18" s="259">
        <f>D18/D19</f>
        <v>0</v>
      </c>
      <c r="F18" s="119">
        <v>0</v>
      </c>
      <c r="G18" s="259">
        <f>F18/F19</f>
        <v>0</v>
      </c>
    </row>
    <row r="19" spans="1:7" ht="15">
      <c r="A19" s="319" t="s">
        <v>142</v>
      </c>
      <c r="B19" s="260">
        <f>SUM(B16:B18)</f>
        <v>0.1</v>
      </c>
      <c r="C19" s="259">
        <f>B19/B19</f>
        <v>1</v>
      </c>
      <c r="D19" s="260">
        <v>0.1</v>
      </c>
      <c r="E19" s="259">
        <f>D19/D19</f>
        <v>1</v>
      </c>
      <c r="F19" s="260">
        <f>SUM(F16:F18)</f>
        <v>1</v>
      </c>
      <c r="G19" s="259">
        <f>F19/F19</f>
        <v>1</v>
      </c>
    </row>
    <row r="20" spans="1:7" ht="12.75">
      <c r="A20" s="366"/>
      <c r="B20" s="366"/>
      <c r="C20" s="366"/>
      <c r="D20" s="366"/>
      <c r="E20" s="366"/>
      <c r="F20" s="366"/>
      <c r="G20" s="366"/>
    </row>
    <row r="22" ht="12.75">
      <c r="A22" s="325" t="s">
        <v>323</v>
      </c>
    </row>
  </sheetData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hyperlinks>
    <hyperlink ref="A22" location="DADOS!A1" display="volta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Saber</cp:lastModifiedBy>
  <cp:lastPrinted>2011-09-21T17:34:44Z</cp:lastPrinted>
  <dcterms:created xsi:type="dcterms:W3CDTF">2000-07-04T17:38:30Z</dcterms:created>
  <dcterms:modified xsi:type="dcterms:W3CDTF">2012-06-11T16:01:53Z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