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1860" windowWidth="12000" windowHeight="6135" tabRatio="602" firstSheet="3" activeTab="10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<sst xmlns="http://schemas.openxmlformats.org/spreadsheetml/2006/main" count="534" uniqueCount="349">
  <si>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</si>
  <si>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</si>
  <si>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</si>
  <si>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</si>
  <si>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</si>
  <si>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</si>
  <si>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</si>
  <si>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</si>
  <si>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</si>
  <si>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</si>
  <si>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</si>
  <si>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</si>
  <si>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</si>
  <si>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</si>
  <si>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</si>
  <si>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</si>
  <si>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</si>
  <si>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</si>
  <si>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</si>
  <si>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</si>
  <si>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</si>
  <si>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</si>
  <si>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</si>
  <si>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</si>
  <si>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</si>
  <si>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</si>
  <si>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</si>
  <si>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</si>
  <si>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</si>
  <si>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</si>
  <si>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</si>
  <si>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</si>
  <si>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</si>
  <si>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</si>
  <si>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</si>
  <si>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</si>
  <si>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</si>
  <si>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</si>
  <si>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</si>
  <si>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</si>
  <si>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</si>
  <si>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</si>
  <si>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</si>
  <si>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</si>
  <si>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</si>
  <si>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</si>
  <si>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</si>
  <si>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</si>
  <si>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</si>
  <si>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</si>
  <si>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</si>
  <si>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</si>
  <si>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</si>
  <si>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</si>
  <si>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</si>
  <si>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</si>
  <si>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</si>
  <si>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</si>
  <si>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</si>
  <si>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</si>
  <si>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</si>
  <si>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</si>
  <si>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</si>
  <si>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</si>
  <si>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</si>
  <si>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</si>
  <si>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</si>
  <si>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</si>
  <si>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</si>
  <si>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</si>
  <si>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</si>
  <si>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</si>
  <si>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</si>
  <si>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</si>
  <si>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</si>
  <si>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</si>
  <si>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</si>
  <si>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</si>
  <si>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</si>
  <si>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</si>
  <si>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</si>
  <si>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</si>
  <si>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</si>
  <si>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</si>
  <si>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</si>
  <si>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</si>
  <si>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</si>
  <si>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</si>
  <si>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</si>
  <si>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</si>
  <si>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</si>
  <si>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</si>
  <si>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</si>
  <si>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</si>
  <si>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</si>
  <si>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</si>
  <si>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</si>
  <si>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</si>
  <si>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</si>
  <si>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</si>
  <si>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</si>
  <si>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</si>
  <si>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</si>
  <si>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</si>
  <si>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</si>
  <si>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</si>
  <si>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</si>
  <si>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</si>
  <si>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</si>
  <si>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</si>
  <si>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</si>
  <si>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</si>
  <si>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</si>
  <si>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</si>
  <si>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</si>
  <si>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</si>
  <si>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</si>
  <si>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</si>
  <si>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</si>
  <si>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</si>
  <si>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</si>
  <si>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</si>
  <si>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</si>
  <si>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</si>
  <si>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</si>
  <si>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</si>
  <si>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</si>
  <si>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</si>
  <si>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</si>
  <si>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</si>
  <si>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</si>
  <si>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</si>
  <si>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</si>
  <si>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</si>
  <si>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</si>
  <si>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</si>
  <si>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</si>
  <si>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</si>
  <si>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</si>
  <si>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</si>
  <si>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</si>
  <si>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</si>
  <si>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</si>
  <si>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</si>
  <si>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</si>
  <si>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</si>
  <si>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</si>
  <si>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</si>
  <si>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</si>
  <si>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</si>
  <si>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</si>
  <si>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</si>
  <si>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</si>
  <si>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</si>
  <si>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</si>
  <si>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</si>
  <si>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</si>
  <si>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</si>
  <si>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</si>
  <si>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</si>
  <si>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</si>
  <si>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</si>
  <si>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</si>
  <si>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</si>
  <si>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</si>
  <si>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</si>
  <si>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</si>
  <si>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</si>
  <si>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</si>
  <si>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</si>
  <si>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</si>
  <si>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</si>
  <si>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</si>
  <si>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</si>
  <si>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</si>
  <si>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</si>
  <si>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</si>
  <si>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</si>
  <si>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</si>
  <si>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</si>
  <si>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</si>
  <si>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</si>
  <si>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</si>
  <si>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</si>
  <si>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</si>
  <si>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</si>
  <si>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</si>
  <si>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</si>
  <si>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</si>
  <si>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</si>
  <si>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</si>
  <si>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</si>
  <si>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</si>
  <si>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</si>
  <si>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</si>
  <si>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</si>
  <si>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</si>
  <si>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</si>
  <si>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</si>
  <si>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</si>
  <si>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</si>
  <si>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</si>
  <si>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</si>
  <si>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</si>
  <si>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</si>
  <si>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</si>
  <si>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</si>
  <si>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</si>
  <si>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</si>
  <si>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</si>
  <si>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</si>
  <si>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</si>
  <si>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</si>
  <si>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</si>
  <si>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</si>
  <si>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</si>
  <si>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</si>
  <si>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</si>
  <si>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</si>
  <si>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</si>
  <si>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</si>
  <si>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</si>
  <si>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</si>
  <si>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</si>
  <si>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</si>
  <si>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</si>
  <si>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</si>
  <si>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</si>
  <si>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</si>
  <si>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</si>
  <si>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</si>
  <si>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</si>
  <si>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</si>
  <si>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</si>
  <si>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</si>
  <si>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</si>
  <si>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</si>
  <si>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</si>
  <si>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</si>
  <si>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</si>
  <si>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</si>
  <si>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</si>
  <si>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</si>
  <si>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</si>
  <si>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</si>
  <si>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</si>
  <si>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</si>
  <si>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</si>
  <si>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</si>
  <si>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</si>
  <si>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</si>
  <si>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</si>
  <si>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</si>
  <si>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</si>
  <si>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</si>
  <si>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</si>
  <si>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</si>
  <si>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</si>
  <si>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</si>
  <si>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</si>
  <si>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</si>
  <si>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</si>
  <si>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</si>
  <si>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</si>
  <si>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</si>
  <si>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</si>
  <si>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</si>
  <si>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</si>
  <si>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</si>
  <si>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</si>
  <si>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</si>
  <si>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</si>
  <si>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</si>
  <si>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</si>
  <si>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</si>
  <si>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</si>
  <si>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</si>
  <si>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</si>
  <si>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</si>
  <si>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</si>
  <si>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</si>
  <si>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</si>
  <si>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</si>
  <si>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</si>
  <si>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</si>
  <si>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</si>
  <si>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</si>
  <si>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</si>
  <si>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</si>
  <si>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</si>
  <si>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</si>
  <si>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</si>
  <si>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</si>
  <si>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</si>
  <si>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</si>
  <si>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</si>
  <si>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</si>
  <si>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</si>
  <si>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</si>
  <si>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</si>
  <si>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</si>
  <si>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</si>
  <si>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</si>
  <si>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</si>
  <si>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</si>
  <si>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</si>
  <si>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</si>
  <si>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</si>
  <si>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</si>
  <si>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</si>
  <si>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</si>
  <si>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</si>
  <si>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</si>
  <si>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</si>
  <si>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</si>
  <si>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</si>
  <si>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</si>
  <si>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CRONOGRAMA DE PAGAMENTOS DA DÍVIDA</t>
  </si>
  <si>
    <t>MUNICIPIO DE QUILOMBO</t>
  </si>
  <si>
    <t>a reserva de contingência).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</si>
  <si>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</si>
  <si>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</si>
  <si>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Outos Riscos Fiscais</t>
  </si>
  <si>
    <t>da reserva de contingência</t>
  </si>
  <si>
    <t>Abertura de Créditos adicionais com recursos</t>
  </si>
  <si>
    <t>forme o Projeto de Lei da LDO da União, que considera, no aumento permanente da receita, ampliação</t>
  </si>
  <si>
    <t>da base de cálculo decorrente da variação real do PIB, estimada para o ano, bem como outras vária-</t>
  </si>
  <si>
    <t>veis tais como o aumento de alíquotas ou criação de novos tributos   e contribuições.</t>
  </si>
  <si>
    <t xml:space="preserve">   Interpéries e outros</t>
  </si>
  <si>
    <t>riscos fiscais</t>
  </si>
  <si>
    <t>METAS FISCAIS</t>
  </si>
  <si>
    <t>DESCONTO COTA ÚNICA</t>
  </si>
  <si>
    <t>IPTU/PRINCIPAL</t>
  </si>
  <si>
    <t>RENÚNCIA DÍVIDA ATIVA</t>
  </si>
  <si>
    <t>IPTU/MULTAS/JUROS</t>
  </si>
  <si>
    <t>ITBI/MULTYAS/JUROS</t>
  </si>
  <si>
    <t>ISQN/PRINCIPAL</t>
  </si>
  <si>
    <t xml:space="preserve">RENÚNCIA </t>
  </si>
  <si>
    <t>TAXAS/PRINCIPAL</t>
  </si>
  <si>
    <t>CONTRIBUIÇÕES</t>
  </si>
  <si>
    <t>RENÚNCIA OUTRAS RECEITAS</t>
  </si>
  <si>
    <t>OUTRAS RECEITAS</t>
  </si>
  <si>
    <t>OUTRAS RECEITAS/MULTAS/JUROS</t>
  </si>
  <si>
    <t>observação</t>
  </si>
  <si>
    <t>COMPENSAÇÃO: ALTERAÇÃO DAS TABELAS E ALTERAÇÃO DOS VALORES DA PLANTA GENÉRICA DO MUNICÍPIO PREVISTAS NO CÓDIGO TRIBUTÁRIO MUNICIPAL</t>
  </si>
  <si>
    <t>Exercício de 2019</t>
  </si>
  <si>
    <t>Quilombo SC , em 15 de agosto de 2018</t>
  </si>
  <si>
    <t>deração a posição em 31/12/2016, 31/12/2017 e 31/07/2018 e a evolução prevista de receitas e despesas (exceto</t>
  </si>
  <si>
    <t>17. VALOR ESTIMADO DO  PIB SC (em R$ milhões)</t>
  </si>
</sst>
</file>

<file path=xl/styles.xml><?xml version="1.0" encoding="utf-8"?>
<styleSheet xmlns="http://schemas.openxmlformats.org/spreadsheetml/2006/main">
  <numFmts count="5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0_);[Red]\(0\)"/>
    <numFmt numFmtId="191" formatCode="#,##0.0"/>
    <numFmt numFmtId="192" formatCode="mmm\-yy"/>
    <numFmt numFmtId="193" formatCode="d/m"/>
    <numFmt numFmtId="194" formatCode="d/m/yy"/>
    <numFmt numFmtId="195" formatCode="mmmm\-yy"/>
    <numFmt numFmtId="196" formatCode="d\-mmm"/>
    <numFmt numFmtId="197" formatCode="0.0"/>
    <numFmt numFmtId="198" formatCode="0.000"/>
    <numFmt numFmtId="199" formatCode="\ @"/>
    <numFmt numFmtId="200" formatCode="\ \ \ \ @"/>
    <numFmt numFmtId="201" formatCode="\ \ \ \ \ @"/>
    <numFmt numFmtId="202" formatCode="\ \ \ \ \ \ \ \ \ \ \ \ \ \ \ @"/>
    <numFmt numFmtId="203" formatCode="0.000%"/>
    <numFmt numFmtId="204" formatCode="_(* #,##0.0_);_(* \(#,##0.0\);_(* &quot;-&quot;??_);_(@_)"/>
    <numFmt numFmtId="205" formatCode="_(* #,##0_);_(* \(#,##0\);_(* &quot;-&quot;??_);_(@_)"/>
    <numFmt numFmtId="206" formatCode="&quot;Sim&quot;;&quot;Sim&quot;;&quot;Não&quot;"/>
    <numFmt numFmtId="207" formatCode="&quot;Verdadeiro&quot;;&quot;Verdadeiro&quot;;&quot;Falso&quot;"/>
    <numFmt numFmtId="208" formatCode="&quot;Ativado&quot;;&quot;Ativado&quot;;&quot;Desativado&quot;"/>
    <numFmt numFmtId="209" formatCode="[$€-2]\ #,##0.00_);[Red]\([$€-2]\ #,##0.00\)"/>
  </numFmts>
  <fonts count="7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68" fillId="21" borderId="5" applyNumberFormat="0" applyAlignment="0" applyProtection="0"/>
    <xf numFmtId="175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47">
    <xf numFmtId="1" fontId="0" fillId="0" borderId="0" xfId="0" applyAlignment="1">
      <alignment/>
    </xf>
    <xf numFmtId="1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33" borderId="0" xfId="50" applyNumberFormat="1" applyFont="1" applyFill="1" applyAlignment="1">
      <alignment/>
    </xf>
    <xf numFmtId="4" fontId="2" fillId="33" borderId="0" xfId="50" applyNumberFormat="1" applyFont="1" applyFill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4" xfId="0" applyFont="1" applyBorder="1" applyAlignment="1">
      <alignment/>
    </xf>
    <xf numFmtId="1" fontId="7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 horizontal="left"/>
      <protection locked="0"/>
    </xf>
    <xf numFmtId="9" fontId="3" fillId="0" borderId="0" xfId="0" applyNumberFormat="1" applyFont="1" applyAlignment="1" applyProtection="1">
      <alignment horizontal="center"/>
      <protection locked="0"/>
    </xf>
    <xf numFmtId="38" fontId="5" fillId="0" borderId="0" xfId="0" applyNumberFormat="1" applyFont="1" applyAlignment="1" applyProtection="1">
      <alignment horizontal="center"/>
      <protection locked="0"/>
    </xf>
    <xf numFmtId="38" fontId="4" fillId="0" borderId="0" xfId="0" applyNumberFormat="1" applyFont="1" applyAlignment="1" applyProtection="1">
      <alignment horizontal="centerContinuous"/>
      <protection locked="0"/>
    </xf>
    <xf numFmtId="38" fontId="3" fillId="0" borderId="0" xfId="0" applyNumberFormat="1" applyFont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90" fontId="5" fillId="34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 applyProtection="1">
      <alignment/>
      <protection locked="0"/>
    </xf>
    <xf numFmtId="190" fontId="3" fillId="34" borderId="12" xfId="0" applyNumberFormat="1" applyFont="1" applyFill="1" applyBorder="1" applyAlignment="1" applyProtection="1">
      <alignment horizontal="center"/>
      <protection locked="0"/>
    </xf>
    <xf numFmtId="38" fontId="3" fillId="0" borderId="12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9" fontId="4" fillId="33" borderId="0" xfId="50" applyFont="1" applyFill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33" borderId="0" xfId="0" applyFont="1" applyFill="1" applyAlignment="1" applyProtection="1">
      <alignment horizontal="right"/>
      <protection locked="0"/>
    </xf>
    <xf numFmtId="38" fontId="8" fillId="33" borderId="12" xfId="0" applyNumberFormat="1" applyFont="1" applyFill="1" applyBorder="1" applyAlignment="1" applyProtection="1">
      <alignment/>
      <protection locked="0"/>
    </xf>
    <xf numFmtId="38" fontId="8" fillId="33" borderId="14" xfId="0" applyNumberFormat="1" applyFont="1" applyFill="1" applyBorder="1" applyAlignment="1" applyProtection="1">
      <alignment/>
      <protection locked="0"/>
    </xf>
    <xf numFmtId="190" fontId="3" fillId="34" borderId="15" xfId="0" applyNumberFormat="1" applyFont="1" applyFill="1" applyBorder="1" applyAlignment="1" applyProtection="1">
      <alignment horizontal="center"/>
      <protection locked="0"/>
    </xf>
    <xf numFmtId="190" fontId="5" fillId="34" borderId="0" xfId="0" applyNumberFormat="1" applyFont="1" applyFill="1" applyAlignment="1">
      <alignment horizontal="center" vertical="center"/>
    </xf>
    <xf numFmtId="4" fontId="3" fillId="34" borderId="0" xfId="0" applyNumberFormat="1" applyFont="1" applyFill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0" fillId="0" borderId="0" xfId="0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4" borderId="0" xfId="0" applyFont="1" applyFill="1" applyAlignment="1">
      <alignment/>
    </xf>
    <xf numFmtId="1" fontId="12" fillId="34" borderId="0" xfId="0" applyFont="1" applyFill="1" applyAlignment="1">
      <alignment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18" xfId="0" applyFont="1" applyBorder="1" applyAlignment="1">
      <alignment/>
    </xf>
    <xf numFmtId="38" fontId="14" fillId="34" borderId="0" xfId="0" applyNumberFormat="1" applyFont="1" applyFill="1" applyAlignment="1" applyProtection="1">
      <alignment horizontal="left" vertical="center"/>
      <protection locked="0"/>
    </xf>
    <xf numFmtId="38" fontId="15" fillId="0" borderId="0" xfId="0" applyNumberFormat="1" applyFont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4" borderId="19" xfId="0" applyFont="1" applyFill="1" applyBorder="1" applyAlignment="1">
      <alignment horizontal="center" vertical="center" wrapText="1"/>
    </xf>
    <xf numFmtId="1" fontId="14" fillId="35" borderId="18" xfId="0" applyFont="1" applyFill="1" applyBorder="1" applyAlignment="1" applyProtection="1">
      <alignment/>
      <protection locked="0"/>
    </xf>
    <xf numFmtId="10" fontId="14" fillId="35" borderId="11" xfId="0" applyNumberFormat="1" applyFont="1" applyFill="1" applyBorder="1" applyAlignment="1" applyProtection="1">
      <alignment horizontal="center"/>
      <protection locked="0"/>
    </xf>
    <xf numFmtId="1" fontId="14" fillId="36" borderId="18" xfId="0" applyFont="1" applyFill="1" applyBorder="1" applyAlignment="1">
      <alignment/>
    </xf>
    <xf numFmtId="1" fontId="14" fillId="35" borderId="18" xfId="0" applyFont="1" applyFill="1" applyBorder="1" applyAlignment="1">
      <alignment/>
    </xf>
    <xf numFmtId="1" fontId="1" fillId="0" borderId="18" xfId="0" applyFont="1" applyBorder="1" applyAlignment="1">
      <alignment/>
    </xf>
    <xf numFmtId="1" fontId="16" fillId="0" borderId="20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21" xfId="0" applyFont="1" applyBorder="1" applyAlignment="1">
      <alignment wrapText="1"/>
    </xf>
    <xf numFmtId="1" fontId="18" fillId="0" borderId="22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1" fontId="18" fillId="0" borderId="24" xfId="0" applyFont="1" applyBorder="1" applyAlignment="1">
      <alignment horizontal="center" vertical="top" wrapText="1"/>
    </xf>
    <xf numFmtId="1" fontId="18" fillId="0" borderId="25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18" fillId="0" borderId="27" xfId="0" applyFont="1" applyBorder="1" applyAlignment="1">
      <alignment horizontal="center" vertical="top" wrapText="1"/>
    </xf>
    <xf numFmtId="1" fontId="18" fillId="0" borderId="28" xfId="0" applyFont="1" applyBorder="1" applyAlignment="1">
      <alignment horizontal="center" vertical="top" wrapText="1"/>
    </xf>
    <xf numFmtId="1" fontId="18" fillId="0" borderId="29" xfId="0" applyFont="1" applyBorder="1" applyAlignment="1">
      <alignment horizont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31" xfId="0" applyFont="1" applyBorder="1" applyAlignment="1">
      <alignment horizontal="center" vertical="top" wrapText="1"/>
    </xf>
    <xf numFmtId="1" fontId="0" fillId="0" borderId="32" xfId="0" applyBorder="1" applyAlignment="1">
      <alignment vertical="top" wrapText="1"/>
    </xf>
    <xf numFmtId="1" fontId="18" fillId="0" borderId="32" xfId="0" applyFont="1" applyBorder="1" applyAlignment="1">
      <alignment horizontal="center" vertical="top" wrapText="1"/>
    </xf>
    <xf numFmtId="1" fontId="18" fillId="0" borderId="33" xfId="0" applyFont="1" applyBorder="1" applyAlignment="1">
      <alignment horizontal="center" wrapText="1"/>
    </xf>
    <xf numFmtId="1" fontId="18" fillId="0" borderId="34" xfId="0" applyFont="1" applyBorder="1" applyAlignment="1">
      <alignment wrapText="1"/>
    </xf>
    <xf numFmtId="1" fontId="18" fillId="0" borderId="30" xfId="0" applyFont="1" applyBorder="1" applyAlignment="1">
      <alignment wrapText="1"/>
    </xf>
    <xf numFmtId="1" fontId="18" fillId="0" borderId="35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wrapText="1"/>
    </xf>
    <xf numFmtId="1" fontId="20" fillId="0" borderId="30" xfId="0" applyFont="1" applyBorder="1" applyAlignment="1">
      <alignment vertical="top" wrapText="1"/>
    </xf>
    <xf numFmtId="1" fontId="20" fillId="0" borderId="21" xfId="0" applyFont="1" applyBorder="1" applyAlignment="1">
      <alignment vertical="top" wrapText="1"/>
    </xf>
    <xf numFmtId="1" fontId="18" fillId="0" borderId="34" xfId="0" applyFont="1" applyBorder="1" applyAlignment="1">
      <alignment vertical="top" wrapText="1"/>
    </xf>
    <xf numFmtId="1" fontId="18" fillId="0" borderId="30" xfId="0" applyFont="1" applyBorder="1" applyAlignment="1">
      <alignment vertical="top" wrapText="1"/>
    </xf>
    <xf numFmtId="1" fontId="20" fillId="0" borderId="36" xfId="0" applyFont="1" applyBorder="1" applyAlignment="1">
      <alignment vertical="top" wrapText="1"/>
    </xf>
    <xf numFmtId="1" fontId="18" fillId="0" borderId="37" xfId="0" applyFont="1" applyBorder="1" applyAlignment="1">
      <alignment vertical="center"/>
    </xf>
    <xf numFmtId="1" fontId="0" fillId="0" borderId="37" xfId="0" applyBorder="1" applyAlignment="1">
      <alignment vertical="center"/>
    </xf>
    <xf numFmtId="1" fontId="18" fillId="0" borderId="37" xfId="0" applyFont="1" applyBorder="1" applyAlignment="1">
      <alignment vertical="center" wrapText="1"/>
    </xf>
    <xf numFmtId="1" fontId="20" fillId="0" borderId="0" xfId="0" applyFont="1" applyAlignment="1">
      <alignment vertical="center" wrapText="1"/>
    </xf>
    <xf numFmtId="1" fontId="18" fillId="0" borderId="0" xfId="0" applyFont="1" applyAlignment="1">
      <alignment horizontal="right" vertical="center" wrapText="1"/>
    </xf>
    <xf numFmtId="1" fontId="18" fillId="0" borderId="38" xfId="0" applyFont="1" applyBorder="1" applyAlignment="1">
      <alignment wrapText="1"/>
    </xf>
    <xf numFmtId="1" fontId="18" fillId="0" borderId="30" xfId="0" applyFont="1" applyBorder="1" applyAlignment="1">
      <alignment horizontal="center"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35" xfId="0" applyFont="1" applyBorder="1" applyAlignment="1">
      <alignment horizontal="center" wrapText="1"/>
    </xf>
    <xf numFmtId="1" fontId="21" fillId="0" borderId="34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30" xfId="0" applyFont="1" applyBorder="1" applyAlignment="1">
      <alignment horizontal="justify" vertical="top" wrapText="1"/>
    </xf>
    <xf numFmtId="1" fontId="18" fillId="0" borderId="30" xfId="0" applyFont="1" applyBorder="1" applyAlignment="1">
      <alignment horizontal="justify" vertical="top" wrapText="1"/>
    </xf>
    <xf numFmtId="173" fontId="18" fillId="0" borderId="21" xfId="0" applyNumberFormat="1" applyFont="1" applyBorder="1" applyAlignment="1">
      <alignment horizontal="right" wrapText="1"/>
    </xf>
    <xf numFmtId="173" fontId="18" fillId="0" borderId="21" xfId="0" applyNumberFormat="1" applyFont="1" applyBorder="1" applyAlignment="1">
      <alignment horizontal="right" vertical="top" wrapText="1"/>
    </xf>
    <xf numFmtId="173" fontId="18" fillId="0" borderId="39" xfId="0" applyNumberFormat="1" applyFont="1" applyBorder="1" applyAlignment="1">
      <alignment horizontal="right" vertical="center" wrapText="1"/>
    </xf>
    <xf numFmtId="173" fontId="18" fillId="0" borderId="38" xfId="0" applyNumberFormat="1" applyFont="1" applyBorder="1" applyAlignment="1">
      <alignment horizontal="right" wrapText="1"/>
    </xf>
    <xf numFmtId="1" fontId="0" fillId="0" borderId="0" xfId="0" applyFont="1" applyAlignment="1">
      <alignment/>
    </xf>
    <xf numFmtId="1" fontId="22" fillId="0" borderId="21" xfId="0" applyFont="1" applyBorder="1" applyAlignment="1">
      <alignment horizontal="justify" wrapText="1"/>
    </xf>
    <xf numFmtId="1" fontId="2" fillId="0" borderId="40" xfId="0" applyFont="1" applyBorder="1" applyAlignment="1">
      <alignment wrapText="1"/>
    </xf>
    <xf numFmtId="1" fontId="22" fillId="0" borderId="35" xfId="0" applyFont="1" applyBorder="1" applyAlignment="1">
      <alignment horizontal="center" vertical="center" wrapText="1"/>
    </xf>
    <xf numFmtId="1" fontId="2" fillId="0" borderId="41" xfId="0" applyFont="1" applyBorder="1" applyAlignment="1">
      <alignment horizontal="center" wrapText="1"/>
    </xf>
    <xf numFmtId="1" fontId="22" fillId="0" borderId="30" xfId="0" applyFont="1" applyBorder="1" applyAlignment="1">
      <alignment horizontal="center" wrapText="1"/>
    </xf>
    <xf numFmtId="1" fontId="22" fillId="0" borderId="34" xfId="0" applyFont="1" applyBorder="1" applyAlignment="1">
      <alignment wrapText="1"/>
    </xf>
    <xf numFmtId="203" fontId="2" fillId="0" borderId="34" xfId="0" applyNumberFormat="1" applyFont="1" applyBorder="1" applyAlignment="1">
      <alignment wrapText="1"/>
    </xf>
    <xf numFmtId="1" fontId="22" fillId="0" borderId="30" xfId="0" applyFont="1" applyBorder="1" applyAlignment="1">
      <alignment wrapText="1"/>
    </xf>
    <xf numFmtId="175" fontId="2" fillId="0" borderId="34" xfId="0" applyNumberFormat="1" applyFont="1" applyBorder="1" applyAlignment="1">
      <alignment wrapText="1"/>
    </xf>
    <xf numFmtId="175" fontId="2" fillId="0" borderId="30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33" borderId="0" xfId="0" applyFont="1" applyFill="1" applyAlignment="1">
      <alignment/>
    </xf>
    <xf numFmtId="175" fontId="2" fillId="0" borderId="11" xfId="0" applyNumberFormat="1" applyFont="1" applyBorder="1" applyAlignment="1">
      <alignment/>
    </xf>
    <xf numFmtId="175" fontId="2" fillId="0" borderId="42" xfId="0" applyNumberFormat="1" applyFont="1" applyBorder="1" applyAlignment="1">
      <alignment/>
    </xf>
    <xf numFmtId="173" fontId="22" fillId="0" borderId="21" xfId="0" applyNumberFormat="1" applyFont="1" applyBorder="1" applyAlignment="1">
      <alignment horizontal="right" wrapText="1"/>
    </xf>
    <xf numFmtId="1" fontId="22" fillId="0" borderId="30" xfId="0" applyFont="1" applyBorder="1" applyAlignment="1">
      <alignment horizontal="center" vertical="center" wrapText="1"/>
    </xf>
    <xf numFmtId="1" fontId="2" fillId="0" borderId="21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21" xfId="0" applyFont="1" applyBorder="1" applyAlignment="1">
      <alignment vertical="top" wrapText="1"/>
    </xf>
    <xf numFmtId="173" fontId="24" fillId="0" borderId="21" xfId="0" applyNumberFormat="1" applyFont="1" applyBorder="1" applyAlignment="1">
      <alignment horizontal="right" vertical="top" wrapText="1"/>
    </xf>
    <xf numFmtId="1" fontId="24" fillId="0" borderId="30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34" xfId="0" applyFont="1" applyBorder="1" applyAlignment="1">
      <alignment vertical="top" wrapText="1"/>
    </xf>
    <xf numFmtId="175" fontId="24" fillId="0" borderId="34" xfId="0" applyNumberFormat="1" applyFont="1" applyBorder="1" applyAlignment="1">
      <alignment vertical="top" wrapText="1"/>
    </xf>
    <xf numFmtId="1" fontId="24" fillId="0" borderId="30" xfId="0" applyFont="1" applyBorder="1" applyAlignment="1">
      <alignment vertical="top" wrapText="1"/>
    </xf>
    <xf numFmtId="175" fontId="24" fillId="0" borderId="30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35" xfId="0" applyFont="1" applyBorder="1" applyAlignment="1">
      <alignment vertical="top" wrapText="1"/>
    </xf>
    <xf numFmtId="175" fontId="20" fillId="0" borderId="34" xfId="0" applyNumberFormat="1" applyFont="1" applyBorder="1" applyAlignment="1">
      <alignment horizontal="left" vertical="top" wrapText="1"/>
    </xf>
    <xf numFmtId="175" fontId="20" fillId="0" borderId="0" xfId="0" applyNumberFormat="1" applyFont="1" applyAlignment="1">
      <alignment horizontal="left" vertical="top" wrapText="1"/>
    </xf>
    <xf numFmtId="175" fontId="20" fillId="0" borderId="30" xfId="0" applyNumberFormat="1" applyFont="1" applyBorder="1" applyAlignment="1">
      <alignment horizontal="left" vertical="top" wrapText="1"/>
    </xf>
    <xf numFmtId="175" fontId="20" fillId="0" borderId="35" xfId="0" applyNumberFormat="1" applyFont="1" applyBorder="1" applyAlignment="1">
      <alignment horizontal="left" vertical="top" wrapText="1"/>
    </xf>
    <xf numFmtId="175" fontId="21" fillId="0" borderId="34" xfId="0" applyNumberFormat="1" applyFont="1" applyBorder="1" applyAlignment="1">
      <alignment horizontal="right" vertical="top" wrapText="1"/>
    </xf>
    <xf numFmtId="175" fontId="21" fillId="0" borderId="30" xfId="0" applyNumberFormat="1" applyFont="1" applyBorder="1" applyAlignment="1">
      <alignment horizontal="right" vertical="top" wrapText="1"/>
    </xf>
    <xf numFmtId="175" fontId="21" fillId="0" borderId="0" xfId="0" applyNumberFormat="1" applyFont="1" applyAlignment="1">
      <alignment horizontal="right" vertical="top" wrapText="1"/>
    </xf>
    <xf numFmtId="175" fontId="21" fillId="0" borderId="35" xfId="0" applyNumberFormat="1" applyFont="1" applyBorder="1" applyAlignment="1">
      <alignment horizontal="right" vertical="top" wrapText="1"/>
    </xf>
    <xf numFmtId="175" fontId="24" fillId="34" borderId="30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23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30" xfId="0" applyFont="1" applyBorder="1" applyAlignment="1">
      <alignment horizontal="center" vertical="center" wrapText="1"/>
    </xf>
    <xf numFmtId="175" fontId="25" fillId="0" borderId="30" xfId="0" applyNumberFormat="1" applyFont="1" applyBorder="1" applyAlignment="1">
      <alignment horizontal="left" vertical="top" wrapText="1"/>
    </xf>
    <xf numFmtId="175" fontId="25" fillId="0" borderId="35" xfId="0" applyNumberFormat="1" applyFont="1" applyBorder="1" applyAlignment="1">
      <alignment horizontal="left" vertical="top" wrapText="1"/>
    </xf>
    <xf numFmtId="1" fontId="18" fillId="0" borderId="0" xfId="0" applyFont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75" fontId="20" fillId="0" borderId="43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37" borderId="44" xfId="0" applyFont="1" applyFill="1" applyBorder="1" applyAlignment="1">
      <alignment/>
    </xf>
    <xf numFmtId="1" fontId="11" fillId="37" borderId="45" xfId="0" applyFont="1" applyFill="1" applyBorder="1" applyAlignment="1">
      <alignment/>
    </xf>
    <xf numFmtId="1" fontId="0" fillId="37" borderId="45" xfId="0" applyFill="1" applyBorder="1" applyAlignment="1">
      <alignment/>
    </xf>
    <xf numFmtId="1" fontId="10" fillId="37" borderId="44" xfId="0" applyFont="1" applyFill="1" applyBorder="1" applyAlignment="1">
      <alignment/>
    </xf>
    <xf numFmtId="1" fontId="10" fillId="37" borderId="46" xfId="0" applyFont="1" applyFill="1" applyBorder="1" applyAlignment="1">
      <alignment/>
    </xf>
    <xf numFmtId="1" fontId="10" fillId="37" borderId="45" xfId="0" applyFont="1" applyFill="1" applyBorder="1" applyAlignment="1">
      <alignment/>
    </xf>
    <xf numFmtId="1" fontId="10" fillId="37" borderId="34" xfId="0" applyFont="1" applyFill="1" applyBorder="1" applyAlignment="1">
      <alignment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0" fillId="37" borderId="30" xfId="0" applyFont="1" applyFill="1" applyBorder="1" applyAlignment="1">
      <alignment/>
    </xf>
    <xf numFmtId="1" fontId="0" fillId="37" borderId="36" xfId="0" applyFont="1" applyFill="1" applyBorder="1" applyAlignment="1">
      <alignment/>
    </xf>
    <xf numFmtId="1" fontId="0" fillId="37" borderId="47" xfId="0" applyFont="1" applyFill="1" applyBorder="1" applyAlignment="1">
      <alignment/>
    </xf>
    <xf numFmtId="1" fontId="0" fillId="37" borderId="41" xfId="0" applyFont="1" applyFill="1" applyBorder="1" applyAlignment="1">
      <alignment/>
    </xf>
    <xf numFmtId="1" fontId="10" fillId="37" borderId="48" xfId="0" applyFont="1" applyFill="1" applyBorder="1" applyAlignment="1">
      <alignment/>
    </xf>
    <xf numFmtId="1" fontId="10" fillId="37" borderId="47" xfId="0" applyFont="1" applyFill="1" applyBorder="1" applyAlignment="1">
      <alignment/>
    </xf>
    <xf numFmtId="1" fontId="0" fillId="37" borderId="36" xfId="0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8" fontId="26" fillId="0" borderId="0" xfId="0" applyNumberFormat="1" applyFont="1" applyAlignment="1" applyProtection="1">
      <alignment horizontal="left"/>
      <protection locked="0"/>
    </xf>
    <xf numFmtId="9" fontId="1" fillId="0" borderId="0" xfId="0" applyNumberFormat="1" applyFont="1" applyAlignment="1" applyProtection="1">
      <alignment horizontal="center"/>
      <protection locked="0"/>
    </xf>
    <xf numFmtId="38" fontId="1" fillId="0" borderId="0" xfId="0" applyNumberFormat="1" applyFont="1" applyAlignment="1" applyProtection="1">
      <alignment horizontal="center"/>
      <protection locked="0"/>
    </xf>
    <xf numFmtId="1" fontId="1" fillId="0" borderId="0" xfId="0" applyFont="1" applyAlignment="1" applyProtection="1">
      <alignment/>
      <protection locked="0"/>
    </xf>
    <xf numFmtId="38" fontId="14" fillId="0" borderId="0" xfId="0" applyNumberFormat="1" applyFont="1" applyAlignment="1" applyProtection="1">
      <alignment horizontal="center"/>
      <protection locked="0"/>
    </xf>
    <xf numFmtId="1" fontId="27" fillId="0" borderId="0" xfId="0" applyFont="1" applyAlignment="1" applyProtection="1">
      <alignment horizontal="left"/>
      <protection locked="0"/>
    </xf>
    <xf numFmtId="38" fontId="28" fillId="0" borderId="0" xfId="0" applyNumberFormat="1" applyFont="1" applyAlignment="1" applyProtection="1">
      <alignment horizontal="centerContinuous"/>
      <protection locked="0"/>
    </xf>
    <xf numFmtId="1" fontId="1" fillId="33" borderId="0" xfId="0" applyFont="1" applyFill="1" applyAlignment="1" applyProtection="1">
      <alignment/>
      <protection locked="0"/>
    </xf>
    <xf numFmtId="1" fontId="1" fillId="0" borderId="0" xfId="0" applyFont="1" applyAlignment="1" applyProtection="1">
      <alignment horizontal="center"/>
      <protection locked="0"/>
    </xf>
    <xf numFmtId="1" fontId="16" fillId="33" borderId="0" xfId="0" applyFont="1" applyFill="1" applyAlignment="1" applyProtection="1">
      <alignment horizontal="right"/>
      <protection locked="0"/>
    </xf>
    <xf numFmtId="190" fontId="14" fillId="34" borderId="49" xfId="0" applyNumberFormat="1" applyFont="1" applyFill="1" applyBorder="1" applyAlignment="1" applyProtection="1">
      <alignment horizontal="center"/>
      <protection locked="0"/>
    </xf>
    <xf numFmtId="190" fontId="14" fillId="34" borderId="50" xfId="0" applyNumberFormat="1" applyFont="1" applyFill="1" applyBorder="1" applyAlignment="1" applyProtection="1">
      <alignment horizontal="center"/>
      <protection locked="0"/>
    </xf>
    <xf numFmtId="190" fontId="14" fillId="34" borderId="51" xfId="0" applyNumberFormat="1" applyFont="1" applyFill="1" applyBorder="1" applyAlignment="1" applyProtection="1">
      <alignment horizontal="center"/>
      <protection locked="0"/>
    </xf>
    <xf numFmtId="190" fontId="1" fillId="34" borderId="11" xfId="0" applyNumberFormat="1" applyFont="1" applyFill="1" applyBorder="1" applyAlignment="1">
      <alignment horizontal="center" vertical="center"/>
    </xf>
    <xf numFmtId="190" fontId="1" fillId="34" borderId="12" xfId="0" applyNumberFormat="1" applyFont="1" applyFill="1" applyBorder="1" applyAlignment="1">
      <alignment horizontal="center" vertical="center"/>
    </xf>
    <xf numFmtId="190" fontId="1" fillId="34" borderId="52" xfId="0" applyNumberFormat="1" applyFont="1" applyFill="1" applyBorder="1" applyAlignment="1">
      <alignment horizontal="center" vertical="center"/>
    </xf>
    <xf numFmtId="3" fontId="14" fillId="34" borderId="11" xfId="0" applyNumberFormat="1" applyFont="1" applyFill="1" applyBorder="1" applyAlignment="1" applyProtection="1">
      <alignment horizontal="right"/>
      <protection locked="0"/>
    </xf>
    <xf numFmtId="3" fontId="14" fillId="34" borderId="12" xfId="0" applyNumberFormat="1" applyFont="1" applyFill="1" applyBorder="1" applyAlignment="1" applyProtection="1">
      <alignment horizontal="right"/>
      <protection locked="0"/>
    </xf>
    <xf numFmtId="3" fontId="14" fillId="34" borderId="52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33" borderId="0" xfId="0" applyNumberFormat="1" applyFont="1" applyFill="1" applyAlignment="1" applyProtection="1">
      <alignment horizontal="left" vertical="center"/>
      <protection locked="0"/>
    </xf>
    <xf numFmtId="38" fontId="28" fillId="0" borderId="18" xfId="0" applyNumberFormat="1" applyFont="1" applyBorder="1" applyAlignment="1" applyProtection="1">
      <alignment/>
      <protection locked="0"/>
    </xf>
    <xf numFmtId="4" fontId="28" fillId="33" borderId="11" xfId="0" applyNumberFormat="1" applyFont="1" applyFill="1" applyBorder="1" applyAlignment="1" applyProtection="1">
      <alignment vertical="center"/>
      <protection locked="0"/>
    </xf>
    <xf numFmtId="4" fontId="2" fillId="33" borderId="11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90" fontId="14" fillId="34" borderId="18" xfId="0" applyNumberFormat="1" applyFont="1" applyFill="1" applyBorder="1" applyAlignment="1" applyProtection="1">
      <alignment horizontal="center"/>
      <protection locked="0"/>
    </xf>
    <xf numFmtId="190" fontId="14" fillId="34" borderId="11" xfId="0" applyNumberFormat="1" applyFont="1" applyFill="1" applyBorder="1" applyAlignment="1" applyProtection="1">
      <alignment horizontal="center"/>
      <protection locked="0"/>
    </xf>
    <xf numFmtId="190" fontId="1" fillId="34" borderId="18" xfId="0" applyNumberFormat="1" applyFont="1" applyFill="1" applyBorder="1" applyAlignment="1">
      <alignment horizontal="center" vertical="center"/>
    </xf>
    <xf numFmtId="38" fontId="14" fillId="0" borderId="18" xfId="0" applyNumberFormat="1" applyFont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33" borderId="11" xfId="0" applyNumberFormat="1" applyFont="1" applyFill="1" applyBorder="1" applyAlignment="1" applyProtection="1">
      <alignment/>
      <protection locked="0"/>
    </xf>
    <xf numFmtId="38" fontId="14" fillId="0" borderId="20" xfId="0" applyNumberFormat="1" applyFont="1" applyBorder="1" applyAlignment="1" applyProtection="1">
      <alignment/>
      <protection locked="0"/>
    </xf>
    <xf numFmtId="38" fontId="14" fillId="33" borderId="13" xfId="0" applyNumberFormat="1" applyFont="1" applyFill="1" applyBorder="1" applyAlignment="1" applyProtection="1">
      <alignment/>
      <protection locked="0"/>
    </xf>
    <xf numFmtId="38" fontId="14" fillId="0" borderId="15" xfId="0" applyNumberFormat="1" applyFont="1" applyBorder="1" applyAlignment="1" applyProtection="1">
      <alignment/>
      <protection locked="0"/>
    </xf>
    <xf numFmtId="190" fontId="14" fillId="34" borderId="53" xfId="0" applyNumberFormat="1" applyFont="1" applyFill="1" applyBorder="1" applyAlignment="1" applyProtection="1">
      <alignment horizontal="center"/>
      <protection locked="0"/>
    </xf>
    <xf numFmtId="3" fontId="14" fillId="34" borderId="18" xfId="0" applyNumberFormat="1" applyFont="1" applyFill="1" applyBorder="1" applyAlignment="1" applyProtection="1">
      <alignment horizontal="right"/>
      <protection locked="0"/>
    </xf>
    <xf numFmtId="0" fontId="14" fillId="34" borderId="44" xfId="0" applyNumberFormat="1" applyFont="1" applyFill="1" applyBorder="1" applyAlignment="1" applyProtection="1">
      <alignment horizontal="center" vertical="center"/>
      <protection locked="0"/>
    </xf>
    <xf numFmtId="190" fontId="1" fillId="34" borderId="54" xfId="0" applyNumberFormat="1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center" vertical="center"/>
      <protection locked="0"/>
    </xf>
    <xf numFmtId="189" fontId="1" fillId="34" borderId="55" xfId="46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left"/>
      <protection locked="0"/>
    </xf>
    <xf numFmtId="0" fontId="14" fillId="34" borderId="55" xfId="0" applyNumberFormat="1" applyFont="1" applyFill="1" applyBorder="1" applyAlignment="1" applyProtection="1">
      <alignment horizontal="left"/>
      <protection locked="0"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3" fillId="37" borderId="36" xfId="0" applyFont="1" applyFill="1" applyBorder="1" applyAlignment="1">
      <alignment/>
    </xf>
    <xf numFmtId="1" fontId="13" fillId="37" borderId="30" xfId="0" applyFont="1" applyFill="1" applyBorder="1" applyAlignment="1">
      <alignment/>
    </xf>
    <xf numFmtId="177" fontId="10" fillId="37" borderId="43" xfId="0" applyNumberFormat="1" applyFont="1" applyFill="1" applyBorder="1" applyAlignment="1">
      <alignment/>
    </xf>
    <xf numFmtId="175" fontId="2" fillId="34" borderId="11" xfId="0" applyNumberFormat="1" applyFont="1" applyFill="1" applyBorder="1" applyAlignment="1">
      <alignment/>
    </xf>
    <xf numFmtId="175" fontId="2" fillId="34" borderId="13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4" borderId="56" xfId="0" applyNumberFormat="1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 horizontal="center"/>
    </xf>
    <xf numFmtId="1" fontId="1" fillId="34" borderId="11" xfId="0" applyFont="1" applyFill="1" applyBorder="1" applyAlignment="1">
      <alignment horizontal="center"/>
    </xf>
    <xf numFmtId="1" fontId="1" fillId="0" borderId="57" xfId="0" applyFont="1" applyBorder="1" applyAlignment="1">
      <alignment/>
    </xf>
    <xf numFmtId="175" fontId="1" fillId="34" borderId="42" xfId="0" applyNumberFormat="1" applyFont="1" applyFill="1" applyBorder="1" applyAlignment="1">
      <alignment/>
    </xf>
    <xf numFmtId="1" fontId="2" fillId="33" borderId="0" xfId="0" applyFont="1" applyFill="1" applyAlignment="1">
      <alignment/>
    </xf>
    <xf numFmtId="1" fontId="1" fillId="33" borderId="20" xfId="0" applyFont="1" applyFill="1" applyBorder="1" applyAlignment="1">
      <alignment/>
    </xf>
    <xf numFmtId="4" fontId="2" fillId="33" borderId="0" xfId="50" applyNumberFormat="1" applyFont="1" applyFill="1" applyAlignment="1">
      <alignment/>
    </xf>
    <xf numFmtId="4" fontId="2" fillId="0" borderId="10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4" borderId="12" xfId="0" applyFont="1" applyFill="1" applyBorder="1" applyAlignment="1">
      <alignment horizontal="center"/>
    </xf>
    <xf numFmtId="1" fontId="1" fillId="0" borderId="18" xfId="0" applyFont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1" fontId="2" fillId="0" borderId="13" xfId="0" applyFont="1" applyBorder="1" applyAlignment="1">
      <alignment/>
    </xf>
    <xf numFmtId="175" fontId="20" fillId="38" borderId="34" xfId="0" applyNumberFormat="1" applyFont="1" applyFill="1" applyBorder="1" applyAlignment="1">
      <alignment wrapText="1"/>
    </xf>
    <xf numFmtId="203" fontId="20" fillId="38" borderId="34" xfId="0" applyNumberFormat="1" applyFont="1" applyFill="1" applyBorder="1" applyAlignment="1">
      <alignment wrapText="1"/>
    </xf>
    <xf numFmtId="175" fontId="2" fillId="34" borderId="34" xfId="0" applyNumberFormat="1" applyFont="1" applyFill="1" applyBorder="1" applyAlignment="1">
      <alignment wrapText="1"/>
    </xf>
    <xf numFmtId="203" fontId="2" fillId="34" borderId="34" xfId="0" applyNumberFormat="1" applyFont="1" applyFill="1" applyBorder="1" applyAlignment="1">
      <alignment wrapText="1"/>
    </xf>
    <xf numFmtId="175" fontId="2" fillId="34" borderId="34" xfId="0" applyNumberFormat="1" applyFont="1" applyFill="1" applyBorder="1" applyAlignment="1">
      <alignment horizontal="right" wrapText="1"/>
    </xf>
    <xf numFmtId="175" fontId="2" fillId="34" borderId="34" xfId="0" applyNumberFormat="1" applyFont="1" applyFill="1" applyBorder="1" applyAlignment="1">
      <alignment vertical="top" wrapText="1"/>
    </xf>
    <xf numFmtId="10" fontId="2" fillId="34" borderId="0" xfId="0" applyNumberFormat="1" applyFont="1" applyFill="1" applyAlignment="1">
      <alignment vertical="top" wrapText="1"/>
    </xf>
    <xf numFmtId="10" fontId="2" fillId="34" borderId="34" xfId="0" applyNumberFormat="1" applyFont="1" applyFill="1" applyBorder="1" applyAlignment="1">
      <alignment wrapText="1"/>
    </xf>
    <xf numFmtId="10" fontId="2" fillId="34" borderId="30" xfId="0" applyNumberFormat="1" applyFont="1" applyFill="1" applyBorder="1" applyAlignment="1">
      <alignment wrapText="1"/>
    </xf>
    <xf numFmtId="175" fontId="2" fillId="34" borderId="30" xfId="0" applyNumberFormat="1" applyFont="1" applyFill="1" applyBorder="1" applyAlignment="1">
      <alignment wrapText="1"/>
    </xf>
    <xf numFmtId="1" fontId="24" fillId="34" borderId="34" xfId="0" applyFont="1" applyFill="1" applyBorder="1" applyAlignment="1">
      <alignment vertical="top" wrapText="1"/>
    </xf>
    <xf numFmtId="175" fontId="24" fillId="34" borderId="35" xfId="0" applyNumberFormat="1" applyFont="1" applyFill="1" applyBorder="1" applyAlignment="1">
      <alignment vertical="top" wrapText="1"/>
    </xf>
    <xf numFmtId="175" fontId="25" fillId="34" borderId="43" xfId="0" applyNumberFormat="1" applyFont="1" applyFill="1" applyBorder="1" applyAlignment="1">
      <alignment horizontal="left" vertical="top" wrapText="1"/>
    </xf>
    <xf numFmtId="175" fontId="20" fillId="34" borderId="43" xfId="0" applyNumberFormat="1" applyFont="1" applyFill="1" applyBorder="1" applyAlignment="1">
      <alignment horizontal="left" vertical="top" wrapText="1"/>
    </xf>
    <xf numFmtId="175" fontId="25" fillId="34" borderId="23" xfId="0" applyNumberFormat="1" applyFont="1" applyFill="1" applyBorder="1" applyAlignment="1">
      <alignment horizontal="left" vertical="top" wrapText="1"/>
    </xf>
    <xf numFmtId="175" fontId="25" fillId="34" borderId="34" xfId="0" applyNumberFormat="1" applyFont="1" applyFill="1" applyBorder="1" applyAlignment="1">
      <alignment horizontal="left" vertical="top" wrapText="1"/>
    </xf>
    <xf numFmtId="175" fontId="20" fillId="34" borderId="34" xfId="0" applyNumberFormat="1" applyFont="1" applyFill="1" applyBorder="1" applyAlignment="1">
      <alignment horizontal="left" vertical="top" wrapText="1"/>
    </xf>
    <xf numFmtId="175" fontId="25" fillId="34" borderId="30" xfId="0" applyNumberFormat="1" applyFont="1" applyFill="1" applyBorder="1" applyAlignment="1">
      <alignment horizontal="left" vertical="top" wrapText="1"/>
    </xf>
    <xf numFmtId="175" fontId="20" fillId="34" borderId="30" xfId="0" applyNumberFormat="1" applyFont="1" applyFill="1" applyBorder="1" applyAlignment="1">
      <alignment wrapText="1"/>
    </xf>
    <xf numFmtId="175" fontId="21" fillId="34" borderId="30" xfId="0" applyNumberFormat="1" applyFont="1" applyFill="1" applyBorder="1" applyAlignment="1">
      <alignment horizontal="right" vertical="top" wrapText="1"/>
    </xf>
    <xf numFmtId="4" fontId="0" fillId="39" borderId="43" xfId="0" applyNumberFormat="1" applyFont="1" applyFill="1" applyBorder="1" applyAlignment="1">
      <alignment/>
    </xf>
    <xf numFmtId="1" fontId="10" fillId="37" borderId="58" xfId="0" applyFont="1" applyFill="1" applyBorder="1" applyAlignment="1">
      <alignment horizontal="center"/>
    </xf>
    <xf numFmtId="1" fontId="1" fillId="39" borderId="18" xfId="0" applyFont="1" applyFill="1" applyBorder="1" applyAlignment="1">
      <alignment/>
    </xf>
    <xf numFmtId="177" fontId="0" fillId="34" borderId="43" xfId="0" applyNumberFormat="1" applyFont="1" applyFill="1" applyBorder="1" applyAlignment="1">
      <alignment/>
    </xf>
    <xf numFmtId="177" fontId="10" fillId="34" borderId="43" xfId="0" applyNumberFormat="1" applyFont="1" applyFill="1" applyBorder="1" applyAlignment="1">
      <alignment/>
    </xf>
    <xf numFmtId="1" fontId="19" fillId="0" borderId="34" xfId="0" applyFont="1" applyBorder="1" applyAlignment="1">
      <alignment vertical="top" wrapText="1"/>
    </xf>
    <xf numFmtId="1" fontId="19" fillId="0" borderId="30" xfId="0" applyFont="1" applyBorder="1" applyAlignment="1">
      <alignment vertical="top" wrapText="1"/>
    </xf>
    <xf numFmtId="177" fontId="20" fillId="0" borderId="0" xfId="0" applyNumberFormat="1" applyFont="1" applyAlignment="1">
      <alignment vertical="top" wrapText="1"/>
    </xf>
    <xf numFmtId="177" fontId="25" fillId="34" borderId="0" xfId="0" applyNumberFormat="1" applyFont="1" applyFill="1" applyAlignment="1">
      <alignment vertical="top" wrapText="1"/>
    </xf>
    <xf numFmtId="177" fontId="25" fillId="34" borderId="35" xfId="0" applyNumberFormat="1" applyFont="1" applyFill="1" applyBorder="1" applyAlignment="1">
      <alignment vertical="top" wrapText="1"/>
    </xf>
    <xf numFmtId="177" fontId="20" fillId="0" borderId="35" xfId="0" applyNumberFormat="1" applyFont="1" applyBorder="1" applyAlignment="1">
      <alignment vertical="top" wrapText="1"/>
    </xf>
    <xf numFmtId="177" fontId="25" fillId="34" borderId="35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18" xfId="0" applyFont="1" applyBorder="1" applyAlignment="1">
      <alignment/>
    </xf>
    <xf numFmtId="1" fontId="14" fillId="39" borderId="18" xfId="0" applyFont="1" applyFill="1" applyBorder="1" applyAlignment="1" applyProtection="1">
      <alignment/>
      <protection locked="0"/>
    </xf>
    <xf numFmtId="10" fontId="14" fillId="39" borderId="11" xfId="0" applyNumberFormat="1" applyFont="1" applyFill="1" applyBorder="1" applyAlignment="1" applyProtection="1">
      <alignment horizontal="center"/>
      <protection locked="0"/>
    </xf>
    <xf numFmtId="10" fontId="14" fillId="40" borderId="18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center"/>
      <protection locked="0"/>
    </xf>
    <xf numFmtId="10" fontId="14" fillId="37" borderId="18" xfId="0" applyNumberFormat="1" applyFont="1" applyFill="1" applyBorder="1" applyAlignment="1" applyProtection="1">
      <alignment horizontal="right"/>
      <protection locked="0"/>
    </xf>
    <xf numFmtId="10" fontId="14" fillId="37" borderId="11" xfId="0" applyNumberFormat="1" applyFont="1" applyFill="1" applyBorder="1" applyAlignment="1" applyProtection="1">
      <alignment horizontal="right"/>
      <protection locked="0"/>
    </xf>
    <xf numFmtId="10" fontId="14" fillId="37" borderId="18" xfId="0" applyNumberFormat="1" applyFont="1" applyFill="1" applyBorder="1" applyAlignment="1">
      <alignment/>
    </xf>
    <xf numFmtId="1" fontId="19" fillId="0" borderId="0" xfId="0" applyFont="1" applyAlignment="1">
      <alignment horizontal="justify" vertical="top" wrapText="1"/>
    </xf>
    <xf numFmtId="4" fontId="29" fillId="37" borderId="11" xfId="0" applyNumberFormat="1" applyFont="1" applyFill="1" applyBorder="1" applyAlignment="1" applyProtection="1">
      <alignment horizontal="center"/>
      <protection locked="0"/>
    </xf>
    <xf numFmtId="4" fontId="29" fillId="40" borderId="11" xfId="0" applyNumberFormat="1" applyFont="1" applyFill="1" applyBorder="1" applyAlignment="1" applyProtection="1">
      <alignment horizontal="center"/>
      <protection locked="0"/>
    </xf>
    <xf numFmtId="1" fontId="22" fillId="0" borderId="0" xfId="0" applyFont="1" applyAlignment="1">
      <alignment/>
    </xf>
    <xf numFmtId="1" fontId="22" fillId="0" borderId="21" xfId="0" applyFont="1" applyBorder="1" applyAlignment="1">
      <alignment horizontal="left"/>
    </xf>
    <xf numFmtId="173" fontId="22" fillId="0" borderId="21" xfId="0" applyNumberFormat="1" applyFont="1" applyBorder="1" applyAlignment="1">
      <alignment horizontal="left"/>
    </xf>
    <xf numFmtId="1" fontId="22" fillId="0" borderId="34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34" xfId="0" applyFont="1" applyBorder="1" applyAlignment="1">
      <alignment/>
    </xf>
    <xf numFmtId="175" fontId="22" fillId="34" borderId="34" xfId="0" applyNumberFormat="1" applyFont="1" applyFill="1" applyBorder="1" applyAlignment="1">
      <alignment horizontal="right" wrapText="1"/>
    </xf>
    <xf numFmtId="10" fontId="22" fillId="34" borderId="34" xfId="0" applyNumberFormat="1" applyFont="1" applyFill="1" applyBorder="1" applyAlignment="1">
      <alignment horizontal="right" vertical="top"/>
    </xf>
    <xf numFmtId="175" fontId="22" fillId="34" borderId="34" xfId="0" applyNumberFormat="1" applyFont="1" applyFill="1" applyBorder="1" applyAlignment="1">
      <alignment horizontal="right" vertical="top"/>
    </xf>
    <xf numFmtId="10" fontId="22" fillId="34" borderId="34" xfId="0" applyNumberFormat="1" applyFont="1" applyFill="1" applyBorder="1" applyAlignment="1">
      <alignment horizontal="right" vertical="top" wrapText="1"/>
    </xf>
    <xf numFmtId="175" fontId="22" fillId="34" borderId="34" xfId="0" applyNumberFormat="1" applyFont="1" applyFill="1" applyBorder="1" applyAlignment="1">
      <alignment horizontal="right"/>
    </xf>
    <xf numFmtId="175" fontId="22" fillId="0" borderId="34" xfId="0" applyNumberFormat="1" applyFont="1" applyBorder="1" applyAlignment="1">
      <alignment horizontal="right"/>
    </xf>
    <xf numFmtId="1" fontId="22" fillId="0" borderId="30" xfId="0" applyFont="1" applyBorder="1" applyAlignment="1">
      <alignment/>
    </xf>
    <xf numFmtId="175" fontId="22" fillId="0" borderId="30" xfId="0" applyNumberFormat="1" applyFont="1" applyBorder="1" applyAlignment="1">
      <alignment horizontal="right"/>
    </xf>
    <xf numFmtId="175" fontId="22" fillId="34" borderId="30" xfId="0" applyNumberFormat="1" applyFont="1" applyFill="1" applyBorder="1" applyAlignment="1">
      <alignment horizontal="right"/>
    </xf>
    <xf numFmtId="175" fontId="22" fillId="34" borderId="30" xfId="0" applyNumberFormat="1" applyFont="1" applyFill="1" applyBorder="1" applyAlignment="1">
      <alignment horizontal="right" wrapText="1"/>
    </xf>
    <xf numFmtId="1" fontId="22" fillId="0" borderId="46" xfId="0" applyFont="1" applyBorder="1" applyAlignment="1">
      <alignment horizontal="center"/>
    </xf>
    <xf numFmtId="1" fontId="0" fillId="0" borderId="21" xfId="0" applyFont="1" applyBorder="1" applyAlignment="1">
      <alignment wrapText="1"/>
    </xf>
    <xf numFmtId="1" fontId="0" fillId="0" borderId="30" xfId="0" applyFont="1" applyBorder="1" applyAlignment="1">
      <alignment horizontal="center" vertical="center" wrapText="1"/>
    </xf>
    <xf numFmtId="1" fontId="0" fillId="0" borderId="34" xfId="0" applyFont="1" applyBorder="1" applyAlignment="1">
      <alignment wrapText="1"/>
    </xf>
    <xf numFmtId="1" fontId="0" fillId="0" borderId="30" xfId="0" applyFont="1" applyBorder="1" applyAlignment="1">
      <alignment wrapText="1"/>
    </xf>
    <xf numFmtId="1" fontId="10" fillId="0" borderId="30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Font="1" applyAlignment="1">
      <alignment horizontal="center"/>
    </xf>
    <xf numFmtId="205" fontId="24" fillId="34" borderId="34" xfId="62" applyNumberFormat="1" applyFont="1" applyFill="1" applyBorder="1" applyAlignment="1">
      <alignment vertical="top" wrapText="1"/>
    </xf>
    <xf numFmtId="205" fontId="24" fillId="34" borderId="30" xfId="62" applyNumberFormat="1" applyFont="1" applyFill="1" applyBorder="1" applyAlignment="1">
      <alignment vertical="top" wrapText="1"/>
    </xf>
    <xf numFmtId="1" fontId="32" fillId="0" borderId="0" xfId="0" applyFont="1" applyAlignment="1">
      <alignment horizontal="center"/>
    </xf>
    <xf numFmtId="1" fontId="30" fillId="0" borderId="0" xfId="44" applyNumberFormat="1" applyAlignment="1" applyProtection="1">
      <alignment/>
      <protection/>
    </xf>
    <xf numFmtId="1" fontId="30" fillId="0" borderId="0" xfId="44" applyNumberFormat="1" applyAlignment="1" applyProtection="1">
      <alignment wrapText="1"/>
      <protection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177" fontId="21" fillId="0" borderId="34" xfId="62" applyFont="1" applyBorder="1" applyAlignment="1">
      <alignment horizontal="center" vertical="top" wrapText="1"/>
    </xf>
    <xf numFmtId="177" fontId="21" fillId="0" borderId="34" xfId="62" applyFont="1" applyBorder="1" applyAlignment="1">
      <alignment wrapText="1"/>
    </xf>
    <xf numFmtId="177" fontId="21" fillId="0" borderId="30" xfId="62" applyFont="1" applyBorder="1" applyAlignment="1">
      <alignment wrapText="1"/>
    </xf>
    <xf numFmtId="1" fontId="21" fillId="0" borderId="34" xfId="0" applyFont="1" applyBorder="1" applyAlignment="1">
      <alignment horizontal="left" vertical="center" wrapText="1"/>
    </xf>
    <xf numFmtId="1" fontId="21" fillId="0" borderId="34" xfId="0" applyFont="1" applyBorder="1" applyAlignment="1">
      <alignment horizontal="left" vertical="top" wrapText="1"/>
    </xf>
    <xf numFmtId="1" fontId="21" fillId="0" borderId="34" xfId="0" applyFont="1" applyBorder="1" applyAlignment="1">
      <alignment horizontal="left" wrapText="1"/>
    </xf>
    <xf numFmtId="1" fontId="21" fillId="0" borderId="30" xfId="0" applyFont="1" applyBorder="1" applyAlignment="1">
      <alignment horizontal="left" wrapText="1"/>
    </xf>
    <xf numFmtId="177" fontId="21" fillId="0" borderId="0" xfId="62" applyFont="1" applyAlignment="1">
      <alignment horizontal="center" vertical="top" wrapText="1"/>
    </xf>
    <xf numFmtId="1" fontId="18" fillId="0" borderId="59" xfId="0" applyFont="1" applyBorder="1" applyAlignment="1">
      <alignment horizontal="center" vertical="top" wrapText="1"/>
    </xf>
    <xf numFmtId="177" fontId="21" fillId="0" borderId="0" xfId="62" applyFont="1" applyAlignment="1">
      <alignment wrapText="1"/>
    </xf>
    <xf numFmtId="177" fontId="21" fillId="0" borderId="35" xfId="62" applyFont="1" applyBorder="1" applyAlignment="1">
      <alignment wrapText="1"/>
    </xf>
    <xf numFmtId="1" fontId="21" fillId="0" borderId="47" xfId="0" applyFont="1" applyBorder="1" applyAlignment="1">
      <alignment horizontal="center" vertical="center" wrapText="1"/>
    </xf>
    <xf numFmtId="175" fontId="21" fillId="0" borderId="47" xfId="0" applyNumberFormat="1" applyFont="1" applyBorder="1" applyAlignment="1">
      <alignment wrapText="1"/>
    </xf>
    <xf numFmtId="175" fontId="21" fillId="0" borderId="41" xfId="0" applyNumberFormat="1" applyFont="1" applyBorder="1" applyAlignment="1">
      <alignment wrapText="1"/>
    </xf>
    <xf numFmtId="1" fontId="39" fillId="37" borderId="60" xfId="44" applyNumberFormat="1" applyFont="1" applyFill="1" applyBorder="1" applyAlignment="1" applyProtection="1">
      <alignment horizontal="center"/>
      <protection/>
    </xf>
    <xf numFmtId="1" fontId="39" fillId="37" borderId="61" xfId="44" applyNumberFormat="1" applyFont="1" applyFill="1" applyBorder="1" applyAlignment="1" applyProtection="1">
      <alignment horizontal="center"/>
      <protection/>
    </xf>
    <xf numFmtId="1" fontId="36" fillId="0" borderId="0" xfId="0" applyFont="1" applyAlignment="1">
      <alignment horizontal="center"/>
    </xf>
    <xf numFmtId="1" fontId="37" fillId="37" borderId="60" xfId="44" applyNumberFormat="1" applyFont="1" applyFill="1" applyBorder="1" applyAlignment="1" applyProtection="1">
      <alignment horizontal="center"/>
      <protection/>
    </xf>
    <xf numFmtId="1" fontId="37" fillId="37" borderId="61" xfId="44" applyNumberFormat="1" applyFont="1" applyFill="1" applyBorder="1" applyAlignment="1" applyProtection="1">
      <alignment horizontal="center"/>
      <protection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37" borderId="60" xfId="44" applyNumberFormat="1" applyFont="1" applyFill="1" applyBorder="1" applyAlignment="1" applyProtection="1">
      <alignment horizontal="center"/>
      <protection/>
    </xf>
    <xf numFmtId="1" fontId="38" fillId="37" borderId="61" xfId="44" applyNumberFormat="1" applyFont="1" applyFill="1" applyBorder="1" applyAlignment="1" applyProtection="1">
      <alignment horizontal="center"/>
      <protection/>
    </xf>
    <xf numFmtId="1" fontId="35" fillId="0" borderId="0" xfId="0" applyFont="1" applyAlignment="1">
      <alignment horizontal="center"/>
    </xf>
    <xf numFmtId="1" fontId="32" fillId="0" borderId="0" xfId="0" applyFont="1" applyAlignment="1">
      <alignment horizontal="center"/>
    </xf>
    <xf numFmtId="1" fontId="0" fillId="0" borderId="0" xfId="0" applyAlignment="1">
      <alignment horizontal="center"/>
    </xf>
    <xf numFmtId="1" fontId="1" fillId="34" borderId="19" xfId="0" applyFont="1" applyFill="1" applyBorder="1" applyAlignment="1">
      <alignment horizontal="center" vertical="center" wrapText="1"/>
    </xf>
    <xf numFmtId="1" fontId="1" fillId="34" borderId="18" xfId="0" applyFont="1" applyFill="1" applyBorder="1" applyAlignment="1">
      <alignment horizontal="center" vertical="center" wrapText="1"/>
    </xf>
    <xf numFmtId="38" fontId="18" fillId="0" borderId="62" xfId="0" applyNumberFormat="1" applyFont="1" applyBorder="1" applyAlignment="1">
      <alignment horizontal="center"/>
    </xf>
    <xf numFmtId="1" fontId="18" fillId="0" borderId="29" xfId="0" applyFont="1" applyBorder="1" applyAlignment="1">
      <alignment horizontal="center"/>
    </xf>
    <xf numFmtId="1" fontId="18" fillId="0" borderId="63" xfId="0" applyFont="1" applyBorder="1" applyAlignment="1">
      <alignment horizontal="center"/>
    </xf>
    <xf numFmtId="1" fontId="18" fillId="0" borderId="62" xfId="0" applyFont="1" applyBorder="1" applyAlignment="1">
      <alignment horizontal="center"/>
    </xf>
    <xf numFmtId="1" fontId="19" fillId="0" borderId="62" xfId="0" applyFont="1" applyBorder="1" applyAlignment="1">
      <alignment horizontal="center"/>
    </xf>
    <xf numFmtId="1" fontId="19" fillId="0" borderId="29" xfId="0" applyFont="1" applyBorder="1" applyAlignment="1">
      <alignment horizontal="center"/>
    </xf>
    <xf numFmtId="1" fontId="19" fillId="0" borderId="63" xfId="0" applyFont="1" applyBorder="1" applyAlignment="1">
      <alignment horizontal="center"/>
    </xf>
    <xf numFmtId="1" fontId="18" fillId="0" borderId="64" xfId="0" applyFont="1" applyBorder="1" applyAlignment="1">
      <alignment horizontal="left"/>
    </xf>
    <xf numFmtId="1" fontId="20" fillId="0" borderId="21" xfId="0" applyFont="1" applyBorder="1" applyAlignment="1">
      <alignment wrapText="1"/>
    </xf>
    <xf numFmtId="173" fontId="18" fillId="0" borderId="21" xfId="0" applyNumberFormat="1" applyFont="1" applyBorder="1" applyAlignment="1">
      <alignment horizontal="right" wrapText="1"/>
    </xf>
    <xf numFmtId="1" fontId="18" fillId="0" borderId="21" xfId="0" applyFont="1" applyBorder="1" applyAlignment="1">
      <alignment horizontal="right" wrapText="1"/>
    </xf>
    <xf numFmtId="1" fontId="18" fillId="0" borderId="46" xfId="0" applyFont="1" applyBorder="1" applyAlignment="1">
      <alignment horizontal="center" vertical="center" wrapText="1"/>
    </xf>
    <xf numFmtId="1" fontId="18" fillId="0" borderId="34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center" wrapText="1"/>
    </xf>
    <xf numFmtId="1" fontId="18" fillId="0" borderId="59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38" fontId="22" fillId="0" borderId="62" xfId="0" applyNumberFormat="1" applyFont="1" applyBorder="1" applyAlignment="1">
      <alignment horizontal="center"/>
    </xf>
    <xf numFmtId="1" fontId="22" fillId="0" borderId="29" xfId="0" applyFont="1" applyBorder="1" applyAlignment="1">
      <alignment horizontal="center"/>
    </xf>
    <xf numFmtId="1" fontId="22" fillId="0" borderId="63" xfId="0" applyFont="1" applyBorder="1" applyAlignment="1">
      <alignment horizontal="center"/>
    </xf>
    <xf numFmtId="1" fontId="22" fillId="0" borderId="62" xfId="0" applyFont="1" applyBorder="1" applyAlignment="1">
      <alignment horizontal="center"/>
    </xf>
    <xf numFmtId="1" fontId="23" fillId="0" borderId="62" xfId="0" applyFont="1" applyBorder="1" applyAlignment="1">
      <alignment horizontal="center"/>
    </xf>
    <xf numFmtId="1" fontId="23" fillId="0" borderId="29" xfId="0" applyFont="1" applyBorder="1" applyAlignment="1">
      <alignment horizontal="center"/>
    </xf>
    <xf numFmtId="1" fontId="23" fillId="0" borderId="63" xfId="0" applyFont="1" applyBorder="1" applyAlignment="1">
      <alignment horizontal="center"/>
    </xf>
    <xf numFmtId="1" fontId="22" fillId="0" borderId="64" xfId="0" applyFont="1" applyBorder="1" applyAlignment="1">
      <alignment horizontal="left"/>
    </xf>
    <xf numFmtId="173" fontId="22" fillId="0" borderId="21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right" wrapText="1"/>
    </xf>
    <xf numFmtId="1" fontId="22" fillId="0" borderId="46" xfId="0" applyFont="1" applyBorder="1" applyAlignment="1">
      <alignment horizontal="center" vertical="center" wrapText="1"/>
    </xf>
    <xf numFmtId="1" fontId="22" fillId="0" borderId="34" xfId="0" applyFont="1" applyBorder="1" applyAlignment="1">
      <alignment horizontal="center" vertical="center" wrapText="1"/>
    </xf>
    <xf numFmtId="1" fontId="22" fillId="0" borderId="30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 wrapText="1"/>
    </xf>
    <xf numFmtId="1" fontId="22" fillId="0" borderId="47" xfId="0" applyFont="1" applyBorder="1" applyAlignment="1">
      <alignment horizontal="center" vertical="center" wrapText="1"/>
    </xf>
    <xf numFmtId="1" fontId="22" fillId="0" borderId="44" xfId="0" applyFont="1" applyBorder="1" applyAlignment="1">
      <alignment horizontal="center" vertical="center" wrapText="1"/>
    </xf>
    <xf numFmtId="1" fontId="22" fillId="0" borderId="64" xfId="0" applyFont="1" applyBorder="1" applyAlignment="1">
      <alignment horizontal="center" vertical="center" wrapText="1"/>
    </xf>
    <xf numFmtId="1" fontId="22" fillId="0" borderId="36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1" fontId="22" fillId="0" borderId="22" xfId="0" applyFont="1" applyBorder="1" applyAlignment="1">
      <alignment horizontal="center"/>
    </xf>
    <xf numFmtId="1" fontId="22" fillId="0" borderId="59" xfId="0" applyFont="1" applyBorder="1" applyAlignment="1">
      <alignment horizontal="center"/>
    </xf>
    <xf numFmtId="1" fontId="22" fillId="0" borderId="34" xfId="0" applyFont="1" applyBorder="1" applyAlignment="1">
      <alignment horizontal="center" vertical="center"/>
    </xf>
    <xf numFmtId="1" fontId="22" fillId="0" borderId="30" xfId="0" applyFont="1" applyBorder="1" applyAlignment="1">
      <alignment horizontal="center" vertical="center"/>
    </xf>
    <xf numFmtId="1" fontId="22" fillId="0" borderId="48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 wrapText="1"/>
    </xf>
    <xf numFmtId="1" fontId="2" fillId="0" borderId="29" xfId="0" applyFont="1" applyBorder="1" applyAlignment="1">
      <alignment horizontal="center"/>
    </xf>
    <xf numFmtId="1" fontId="2" fillId="0" borderId="63" xfId="0" applyFont="1" applyBorder="1" applyAlignment="1">
      <alignment horizontal="center"/>
    </xf>
    <xf numFmtId="1" fontId="2" fillId="0" borderId="59" xfId="0" applyFont="1" applyBorder="1" applyAlignment="1">
      <alignment wrapText="1"/>
    </xf>
    <xf numFmtId="1" fontId="23" fillId="0" borderId="59" xfId="0" applyFont="1" applyBorder="1" applyAlignment="1">
      <alignment horizontal="center" wrapText="1"/>
    </xf>
    <xf numFmtId="38" fontId="24" fillId="0" borderId="62" xfId="0" applyNumberFormat="1" applyFont="1" applyBorder="1" applyAlignment="1">
      <alignment horizontal="center"/>
    </xf>
    <xf numFmtId="1" fontId="24" fillId="0" borderId="29" xfId="0" applyFont="1" applyBorder="1" applyAlignment="1">
      <alignment horizontal="center"/>
    </xf>
    <xf numFmtId="1" fontId="24" fillId="0" borderId="63" xfId="0" applyFont="1" applyBorder="1" applyAlignment="1">
      <alignment horizontal="center"/>
    </xf>
    <xf numFmtId="1" fontId="24" fillId="0" borderId="62" xfId="0" applyFont="1" applyBorder="1" applyAlignment="1">
      <alignment horizontal="center"/>
    </xf>
    <xf numFmtId="1" fontId="10" fillId="0" borderId="62" xfId="0" applyFont="1" applyBorder="1" applyAlignment="1">
      <alignment horizontal="center"/>
    </xf>
    <xf numFmtId="1" fontId="10" fillId="0" borderId="29" xfId="0" applyFont="1" applyBorder="1" applyAlignment="1">
      <alignment horizontal="center"/>
    </xf>
    <xf numFmtId="1" fontId="10" fillId="0" borderId="63" xfId="0" applyFont="1" applyBorder="1" applyAlignment="1">
      <alignment horizontal="center"/>
    </xf>
    <xf numFmtId="1" fontId="30" fillId="0" borderId="62" xfId="44" applyNumberFormat="1" applyBorder="1" applyAlignment="1" applyProtection="1">
      <alignment horizontal="left"/>
      <protection/>
    </xf>
    <xf numFmtId="1" fontId="30" fillId="0" borderId="29" xfId="44" applyNumberFormat="1" applyBorder="1" applyAlignment="1" applyProtection="1">
      <alignment horizontal="left"/>
      <protection/>
    </xf>
    <xf numFmtId="1" fontId="30" fillId="0" borderId="63" xfId="44" applyNumberFormat="1" applyBorder="1" applyAlignment="1" applyProtection="1">
      <alignment horizontal="left"/>
      <protection/>
    </xf>
    <xf numFmtId="1" fontId="24" fillId="0" borderId="59" xfId="0" applyFont="1" applyBorder="1" applyAlignment="1">
      <alignment vertical="top" wrapText="1"/>
    </xf>
    <xf numFmtId="1" fontId="24" fillId="0" borderId="46" xfId="0" applyFont="1" applyBorder="1" applyAlignment="1">
      <alignment horizontal="left" vertical="top" wrapText="1"/>
    </xf>
    <xf numFmtId="1" fontId="24" fillId="0" borderId="30" xfId="0" applyFont="1" applyBorder="1" applyAlignment="1">
      <alignment horizontal="left" vertical="top" wrapText="1"/>
    </xf>
    <xf numFmtId="1" fontId="24" fillId="0" borderId="64" xfId="0" applyFont="1" applyBorder="1" applyAlignment="1">
      <alignment horizontal="left"/>
    </xf>
    <xf numFmtId="1" fontId="24" fillId="0" borderId="46" xfId="0" applyFont="1" applyBorder="1" applyAlignment="1">
      <alignment horizontal="center" vertical="center" wrapText="1"/>
    </xf>
    <xf numFmtId="1" fontId="24" fillId="0" borderId="30" xfId="0" applyFont="1" applyBorder="1" applyAlignment="1">
      <alignment horizontal="center" vertical="center" wrapText="1"/>
    </xf>
    <xf numFmtId="1" fontId="24" fillId="0" borderId="48" xfId="0" applyFont="1" applyBorder="1" applyAlignment="1">
      <alignment horizontal="center" vertical="center" wrapText="1"/>
    </xf>
    <xf numFmtId="1" fontId="24" fillId="0" borderId="41" xfId="0" applyFont="1" applyBorder="1" applyAlignment="1">
      <alignment horizontal="center" vertical="center" wrapText="1"/>
    </xf>
    <xf numFmtId="1" fontId="24" fillId="0" borderId="44" xfId="0" applyFont="1" applyBorder="1" applyAlignment="1">
      <alignment horizontal="center" vertical="center" wrapText="1"/>
    </xf>
    <xf numFmtId="1" fontId="24" fillId="0" borderId="36" xfId="0" applyFont="1" applyBorder="1" applyAlignment="1">
      <alignment horizontal="center" vertical="center" wrapText="1"/>
    </xf>
    <xf numFmtId="1" fontId="18" fillId="0" borderId="0" xfId="0" applyFont="1" applyAlignment="1">
      <alignment horizontal="left" vertical="top" wrapText="1"/>
    </xf>
    <xf numFmtId="1" fontId="19" fillId="0" borderId="0" xfId="0" applyFont="1" applyAlignment="1">
      <alignment horizontal="left" vertical="top" wrapText="1"/>
    </xf>
    <xf numFmtId="1" fontId="18" fillId="0" borderId="65" xfId="0" applyFont="1" applyBorder="1" applyAlignment="1">
      <alignment horizontal="left" vertical="top" wrapText="1"/>
    </xf>
    <xf numFmtId="1" fontId="18" fillId="0" borderId="66" xfId="0" applyFont="1" applyBorder="1" applyAlignment="1">
      <alignment horizontal="left" vertical="top" wrapText="1"/>
    </xf>
    <xf numFmtId="1" fontId="19" fillId="0" borderId="59" xfId="0" applyFont="1" applyBorder="1" applyAlignment="1">
      <alignment horizontal="center" vertical="center" wrapText="1"/>
    </xf>
    <xf numFmtId="1" fontId="19" fillId="0" borderId="23" xfId="0" applyFont="1" applyBorder="1" applyAlignment="1">
      <alignment horizontal="center" vertical="center" wrapText="1"/>
    </xf>
    <xf numFmtId="1" fontId="19" fillId="0" borderId="59" xfId="0" applyFont="1" applyBorder="1" applyAlignment="1">
      <alignment horizontal="left" vertical="top" wrapText="1"/>
    </xf>
    <xf numFmtId="1" fontId="19" fillId="0" borderId="23" xfId="0" applyFont="1" applyBorder="1" applyAlignment="1">
      <alignment horizontal="left" vertical="top" wrapText="1"/>
    </xf>
    <xf numFmtId="1" fontId="19" fillId="0" borderId="34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" fontId="18" fillId="0" borderId="0" xfId="0" applyFont="1" applyAlignment="1">
      <alignment horizontal="left"/>
    </xf>
    <xf numFmtId="1" fontId="0" fillId="0" borderId="67" xfId="0" applyBorder="1" applyAlignment="1">
      <alignment horizontal="center"/>
    </xf>
    <xf numFmtId="38" fontId="18" fillId="0" borderId="29" xfId="0" applyNumberFormat="1" applyFont="1" applyBorder="1" applyAlignment="1">
      <alignment horizontal="center"/>
    </xf>
    <xf numFmtId="1" fontId="0" fillId="0" borderId="29" xfId="0" applyBorder="1" applyAlignment="1">
      <alignment horizontal="center"/>
    </xf>
    <xf numFmtId="1" fontId="18" fillId="0" borderId="48" xfId="0" applyFont="1" applyBorder="1" applyAlignment="1">
      <alignment horizontal="center" vertical="center" wrapText="1"/>
    </xf>
    <xf numFmtId="1" fontId="18" fillId="0" borderId="41" xfId="0" applyFont="1" applyBorder="1" applyAlignment="1">
      <alignment horizontal="center" vertical="center" wrapText="1"/>
    </xf>
    <xf numFmtId="1" fontId="18" fillId="0" borderId="44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175" fontId="21" fillId="0" borderId="47" xfId="0" applyNumberFormat="1" applyFont="1" applyBorder="1" applyAlignment="1">
      <alignment wrapText="1"/>
    </xf>
    <xf numFmtId="1" fontId="18" fillId="0" borderId="59" xfId="0" applyFont="1" applyBorder="1" applyAlignment="1">
      <alignment wrapText="1"/>
    </xf>
    <xf numFmtId="1" fontId="18" fillId="0" borderId="23" xfId="0" applyFont="1" applyBorder="1" applyAlignment="1">
      <alignment wrapText="1"/>
    </xf>
    <xf numFmtId="1" fontId="20" fillId="0" borderId="38" xfId="0" applyFont="1" applyBorder="1" applyAlignment="1">
      <alignment vertical="top" wrapText="1"/>
    </xf>
    <xf numFmtId="1" fontId="18" fillId="0" borderId="64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47" xfId="0" applyFont="1" applyBorder="1" applyAlignment="1">
      <alignment horizontal="center" vertical="center" wrapText="1"/>
    </xf>
    <xf numFmtId="1" fontId="30" fillId="0" borderId="0" xfId="44" applyNumberFormat="1" applyAlignment="1" applyProtection="1">
      <alignment/>
      <protection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18" fillId="0" borderId="35" xfId="0" applyFont="1" applyBorder="1" applyAlignment="1">
      <alignment horizontal="justify" wrapText="1"/>
    </xf>
    <xf numFmtId="173" fontId="18" fillId="0" borderId="35" xfId="0" applyNumberFormat="1" applyFont="1" applyBorder="1" applyAlignment="1">
      <alignment horizontal="right" wrapText="1"/>
    </xf>
    <xf numFmtId="1" fontId="18" fillId="0" borderId="35" xfId="0" applyFont="1" applyBorder="1" applyAlignment="1">
      <alignment horizontal="right" wrapText="1"/>
    </xf>
    <xf numFmtId="1" fontId="18" fillId="0" borderId="59" xfId="0" applyFont="1" applyBorder="1" applyAlignment="1">
      <alignment horizontal="center" wrapText="1"/>
    </xf>
    <xf numFmtId="1" fontId="18" fillId="0" borderId="23" xfId="0" applyFont="1" applyBorder="1" applyAlignment="1">
      <alignment horizontal="center" wrapText="1"/>
    </xf>
    <xf numFmtId="1" fontId="18" fillId="0" borderId="22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WordArt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WordArt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1"/>
  <dimension ref="A1:J39"/>
  <sheetViews>
    <sheetView view="pageBreakPreview" zoomScale="95" zoomScaleSheetLayoutView="95" zoomScalePageLayoutView="0" workbookViewId="0" topLeftCell="A1">
      <selection activeCell="A3" sqref="A3:J3"/>
    </sheetView>
  </sheetViews>
  <sheetFormatPr defaultColWidth="9.140625" defaultRowHeight="12.75"/>
  <cols>
    <col min="1" max="1" width="16.28125" style="305" customWidth="1"/>
    <col min="2" max="16384" width="9.140625" style="305" customWidth="1"/>
  </cols>
  <sheetData>
    <row r="1" spans="1:10" ht="25.5">
      <c r="A1" s="334"/>
      <c r="B1" s="334"/>
      <c r="C1" s="334"/>
      <c r="D1" s="334"/>
      <c r="E1" s="334"/>
      <c r="F1" s="334"/>
      <c r="G1" s="334"/>
      <c r="H1" s="334"/>
      <c r="I1" s="334"/>
      <c r="J1" s="334"/>
    </row>
    <row r="3" spans="1:10" ht="20.25">
      <c r="A3" s="335" t="s">
        <v>318</v>
      </c>
      <c r="B3" s="335"/>
      <c r="C3" s="335"/>
      <c r="D3" s="335"/>
      <c r="E3" s="335"/>
      <c r="F3" s="335"/>
      <c r="G3" s="335"/>
      <c r="H3" s="335"/>
      <c r="I3" s="335"/>
      <c r="J3" s="335"/>
    </row>
    <row r="7" spans="1:10" ht="20.25">
      <c r="A7" s="335" t="s">
        <v>298</v>
      </c>
      <c r="B7" s="335"/>
      <c r="C7" s="335"/>
      <c r="D7" s="335"/>
      <c r="E7" s="335"/>
      <c r="F7" s="335"/>
      <c r="G7" s="335"/>
      <c r="H7" s="335"/>
      <c r="I7" s="335"/>
      <c r="J7" s="335"/>
    </row>
    <row r="11" spans="1:10" ht="23.25">
      <c r="A11" s="338" t="s">
        <v>299</v>
      </c>
      <c r="B11" s="338"/>
      <c r="C11" s="338"/>
      <c r="D11" s="338"/>
      <c r="E11" s="338"/>
      <c r="F11" s="338"/>
      <c r="G11" s="338"/>
      <c r="H11" s="338"/>
      <c r="I11" s="338"/>
      <c r="J11" s="338"/>
    </row>
    <row r="14" spans="1:10" ht="27.75">
      <c r="A14" s="331" t="s">
        <v>300</v>
      </c>
      <c r="B14" s="331"/>
      <c r="C14" s="331"/>
      <c r="D14" s="331"/>
      <c r="E14" s="331"/>
      <c r="F14" s="331"/>
      <c r="G14" s="331"/>
      <c r="H14" s="331"/>
      <c r="I14" s="331"/>
      <c r="J14" s="331"/>
    </row>
    <row r="17" spans="1:10" ht="15">
      <c r="A17" s="339" t="s">
        <v>345</v>
      </c>
      <c r="B17" s="339"/>
      <c r="C17" s="339"/>
      <c r="D17" s="339"/>
      <c r="E17" s="339"/>
      <c r="F17" s="339"/>
      <c r="G17" s="339"/>
      <c r="H17" s="339"/>
      <c r="I17" s="339"/>
      <c r="J17" s="339"/>
    </row>
    <row r="18" ht="15.75" thickBot="1"/>
    <row r="19" spans="2:9" ht="15.75" thickBot="1">
      <c r="B19" s="336" t="s">
        <v>303</v>
      </c>
      <c r="C19" s="337"/>
      <c r="E19" s="332" t="s">
        <v>304</v>
      </c>
      <c r="F19" s="333"/>
      <c r="H19" s="332" t="s">
        <v>305</v>
      </c>
      <c r="I19" s="333"/>
    </row>
    <row r="20" ht="15.75" thickBot="1"/>
    <row r="21" spans="2:9" ht="15.75" thickBot="1">
      <c r="B21" s="332" t="s">
        <v>306</v>
      </c>
      <c r="C21" s="333"/>
      <c r="E21" s="332" t="s">
        <v>307</v>
      </c>
      <c r="F21" s="333"/>
      <c r="H21" s="332" t="s">
        <v>308</v>
      </c>
      <c r="I21" s="333"/>
    </row>
    <row r="22" ht="15.75" thickBot="1"/>
    <row r="23" spans="2:9" ht="15.75" thickBot="1">
      <c r="B23" s="329" t="s">
        <v>309</v>
      </c>
      <c r="C23" s="330"/>
      <c r="E23" s="332" t="s">
        <v>310</v>
      </c>
      <c r="F23" s="333"/>
      <c r="H23" s="332" t="s">
        <v>311</v>
      </c>
      <c r="I23" s="333"/>
    </row>
    <row r="24" spans="2:9" ht="15.75" thickBot="1">
      <c r="B24" s="309"/>
      <c r="C24" s="309"/>
      <c r="E24" s="309"/>
      <c r="F24" s="309"/>
      <c r="H24" s="309"/>
      <c r="I24" s="309"/>
    </row>
    <row r="25" spans="2:9" ht="15.75" thickBot="1">
      <c r="B25" s="332" t="s">
        <v>312</v>
      </c>
      <c r="C25" s="333"/>
      <c r="E25" s="332" t="s">
        <v>313</v>
      </c>
      <c r="F25" s="333"/>
      <c r="H25" s="332" t="s">
        <v>314</v>
      </c>
      <c r="I25" s="333"/>
    </row>
    <row r="27" spans="1:10" ht="15">
      <c r="A27" s="339" t="s">
        <v>301</v>
      </c>
      <c r="B27" s="339"/>
      <c r="C27" s="339"/>
      <c r="D27" s="339"/>
      <c r="E27" s="339"/>
      <c r="F27" s="339"/>
      <c r="G27" s="339"/>
      <c r="H27" s="339"/>
      <c r="I27" s="339"/>
      <c r="J27" s="339"/>
    </row>
    <row r="32" ht="15">
      <c r="E32" s="305">
        <v>2019</v>
      </c>
    </row>
    <row r="33" spans="1:10" ht="15">
      <c r="A33" s="340"/>
      <c r="B33" s="340"/>
      <c r="C33" s="340"/>
      <c r="D33" s="340"/>
      <c r="E33" s="340"/>
      <c r="F33" s="340"/>
      <c r="G33" s="340"/>
      <c r="H33" s="340"/>
      <c r="I33" s="340"/>
      <c r="J33" s="340"/>
    </row>
    <row r="39" spans="1:10" ht="15">
      <c r="A39" s="339" t="s">
        <v>346</v>
      </c>
      <c r="B39" s="339"/>
      <c r="C39" s="339"/>
      <c r="D39" s="339"/>
      <c r="E39" s="339"/>
      <c r="F39" s="339"/>
      <c r="G39" s="339"/>
      <c r="H39" s="339"/>
      <c r="I39" s="339"/>
      <c r="J39" s="339"/>
    </row>
  </sheetData>
  <sheetProtection/>
  <mergeCells count="21">
    <mergeCell ref="E23:F23"/>
    <mergeCell ref="E19:F19"/>
    <mergeCell ref="A39:J39"/>
    <mergeCell ref="A27:J27"/>
    <mergeCell ref="A33:J33"/>
    <mergeCell ref="B21:C21"/>
    <mergeCell ref="E21:F21"/>
    <mergeCell ref="H25:I25"/>
    <mergeCell ref="B25:C25"/>
    <mergeCell ref="E25:F25"/>
    <mergeCell ref="H21:I21"/>
    <mergeCell ref="B23:C23"/>
    <mergeCell ref="A14:J14"/>
    <mergeCell ref="H23:I23"/>
    <mergeCell ref="A1:J1"/>
    <mergeCell ref="A3:J3"/>
    <mergeCell ref="A7:J7"/>
    <mergeCell ref="B19:C19"/>
    <mergeCell ref="H19:I19"/>
    <mergeCell ref="A11:J11"/>
    <mergeCell ref="A17:J17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5"/>
  <dimension ref="A1:D28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58.421875" style="118" customWidth="1"/>
    <col min="2" max="2" width="17.421875" style="118" customWidth="1"/>
    <col min="3" max="3" width="19.421875" style="118" customWidth="1"/>
    <col min="4" max="4" width="19.7109375" style="118" customWidth="1"/>
    <col min="5" max="16384" width="9.140625" style="118" customWidth="1"/>
  </cols>
  <sheetData>
    <row r="1" spans="1:4" ht="14.25">
      <c r="A1" s="390" t="str">
        <f>DADOS!A3</f>
        <v>MUNICIPIO DE QUILOMBO</v>
      </c>
      <c r="B1" s="391"/>
      <c r="C1" s="391"/>
      <c r="D1" s="392"/>
    </row>
    <row r="2" spans="1:4" ht="14.25">
      <c r="A2" s="393" t="s">
        <v>48</v>
      </c>
      <c r="B2" s="391"/>
      <c r="C2" s="391"/>
      <c r="D2" s="392"/>
    </row>
    <row r="3" spans="1:4" ht="14.25">
      <c r="A3" s="393" t="s">
        <v>227</v>
      </c>
      <c r="B3" s="391"/>
      <c r="C3" s="391"/>
      <c r="D3" s="392"/>
    </row>
    <row r="4" spans="1:4" ht="14.25">
      <c r="A4" s="394" t="s">
        <v>237</v>
      </c>
      <c r="B4" s="395"/>
      <c r="C4" s="395"/>
      <c r="D4" s="396"/>
    </row>
    <row r="5" spans="1:4" ht="14.25">
      <c r="A5" s="393" t="str">
        <f>DADOS!A17</f>
        <v>Exercício de 2019</v>
      </c>
      <c r="B5" s="391"/>
      <c r="C5" s="391"/>
      <c r="D5" s="392"/>
    </row>
    <row r="6" spans="1:4" ht="14.25">
      <c r="A6" s="397" t="s">
        <v>316</v>
      </c>
      <c r="B6" s="398"/>
      <c r="C6" s="398"/>
      <c r="D6" s="399"/>
    </row>
    <row r="7" spans="1:4" ht="14.25">
      <c r="A7" s="119" t="s">
        <v>138</v>
      </c>
      <c r="B7" s="119"/>
      <c r="C7" s="119"/>
      <c r="D7" s="120">
        <v>1</v>
      </c>
    </row>
    <row r="8" spans="1:4" s="123" customFormat="1" ht="25.5" customHeight="1">
      <c r="A8" s="121" t="s">
        <v>144</v>
      </c>
      <c r="B8" s="121">
        <f>DADOS!E32-2</f>
        <v>2017</v>
      </c>
      <c r="C8" s="121">
        <f>B8-1</f>
        <v>2016</v>
      </c>
      <c r="D8" s="122">
        <f>C8-1</f>
        <v>2015</v>
      </c>
    </row>
    <row r="9" spans="1:4" ht="12.75" customHeight="1">
      <c r="A9" s="124" t="s">
        <v>75</v>
      </c>
      <c r="B9" s="125">
        <v>0</v>
      </c>
      <c r="C9" s="125">
        <v>0</v>
      </c>
      <c r="D9" s="125">
        <v>0</v>
      </c>
    </row>
    <row r="10" spans="1:4" ht="12.75" customHeight="1">
      <c r="A10" s="124" t="s">
        <v>145</v>
      </c>
      <c r="B10" s="125">
        <v>0</v>
      </c>
      <c r="C10" s="125">
        <v>0</v>
      </c>
      <c r="D10" s="125">
        <v>0</v>
      </c>
    </row>
    <row r="11" spans="1:4" ht="12.75" customHeight="1">
      <c r="A11" s="124" t="s">
        <v>146</v>
      </c>
      <c r="B11" s="125">
        <v>6719.44</v>
      </c>
      <c r="C11" s="125">
        <f>Plano!D16</f>
        <v>125300</v>
      </c>
      <c r="D11" s="125">
        <v>145463</v>
      </c>
    </row>
    <row r="12" spans="1:4" ht="12.75" customHeight="1">
      <c r="A12" s="126" t="s">
        <v>147</v>
      </c>
      <c r="B12" s="127">
        <v>0</v>
      </c>
      <c r="C12" s="127">
        <v>0</v>
      </c>
      <c r="D12" s="127">
        <v>0</v>
      </c>
    </row>
    <row r="13" spans="1:4" ht="14.25">
      <c r="A13" s="126" t="s">
        <v>148</v>
      </c>
      <c r="B13" s="138">
        <f>B11+B12</f>
        <v>6719.44</v>
      </c>
      <c r="C13" s="138">
        <f>C11+C12</f>
        <v>125300</v>
      </c>
      <c r="D13" s="138">
        <f>D11+D12</f>
        <v>145463</v>
      </c>
    </row>
    <row r="14" spans="1:4" ht="14.25">
      <c r="A14" s="400"/>
      <c r="B14" s="400"/>
      <c r="C14" s="400"/>
      <c r="D14" s="400"/>
    </row>
    <row r="15" spans="1:4" s="123" customFormat="1" ht="14.25">
      <c r="A15" s="404" t="s">
        <v>226</v>
      </c>
      <c r="B15" s="406">
        <f>B8</f>
        <v>2017</v>
      </c>
      <c r="C15" s="406">
        <f>C8</f>
        <v>2016</v>
      </c>
      <c r="D15" s="408">
        <f>D8</f>
        <v>2015</v>
      </c>
    </row>
    <row r="16" spans="1:4" s="123" customFormat="1" ht="14.25">
      <c r="A16" s="405"/>
      <c r="B16" s="407"/>
      <c r="C16" s="407"/>
      <c r="D16" s="409"/>
    </row>
    <row r="17" spans="1:4" ht="28.5">
      <c r="A17" s="124" t="s">
        <v>149</v>
      </c>
      <c r="B17" s="124">
        <v>0</v>
      </c>
      <c r="C17" s="124">
        <v>0</v>
      </c>
      <c r="D17" s="128">
        <v>0</v>
      </c>
    </row>
    <row r="18" spans="1:4" ht="14.25">
      <c r="A18" s="124" t="s">
        <v>150</v>
      </c>
      <c r="B18" s="307">
        <f>B19+B20+B21</f>
        <v>0</v>
      </c>
      <c r="C18" s="307">
        <f>C19+C20+C21</f>
        <v>11808</v>
      </c>
      <c r="D18" s="307">
        <f>D19+D20+D21</f>
        <v>145463</v>
      </c>
    </row>
    <row r="19" spans="1:4" ht="14.25">
      <c r="A19" s="124" t="s">
        <v>151</v>
      </c>
      <c r="B19" s="125">
        <v>0</v>
      </c>
      <c r="C19" s="125">
        <v>11808</v>
      </c>
      <c r="D19" s="125">
        <f>D11</f>
        <v>145463</v>
      </c>
    </row>
    <row r="20" spans="1:4" ht="14.25">
      <c r="A20" s="124" t="s">
        <v>152</v>
      </c>
      <c r="B20" s="124">
        <v>0</v>
      </c>
      <c r="C20" s="124">
        <v>0</v>
      </c>
      <c r="D20" s="128">
        <v>0</v>
      </c>
    </row>
    <row r="21" spans="1:4" ht="14.25">
      <c r="A21" s="124" t="s">
        <v>153</v>
      </c>
      <c r="B21" s="124">
        <v>0</v>
      </c>
      <c r="C21" s="124">
        <v>0</v>
      </c>
      <c r="D21" s="128">
        <v>0</v>
      </c>
    </row>
    <row r="22" spans="1:4" ht="14.25">
      <c r="A22" s="124" t="s">
        <v>154</v>
      </c>
      <c r="B22" s="248">
        <f>B23+B24</f>
        <v>46920.9</v>
      </c>
      <c r="C22" s="248">
        <f>C23+C24</f>
        <v>0</v>
      </c>
      <c r="D22" s="248">
        <f>D23+D24</f>
        <v>0</v>
      </c>
    </row>
    <row r="23" spans="1:4" ht="14.25">
      <c r="A23" s="124" t="s">
        <v>155</v>
      </c>
      <c r="B23" s="124">
        <v>46920.9</v>
      </c>
      <c r="C23" s="124">
        <v>0</v>
      </c>
      <c r="D23" s="128">
        <v>0</v>
      </c>
    </row>
    <row r="24" spans="1:4" ht="14.25">
      <c r="A24" s="126" t="s">
        <v>156</v>
      </c>
      <c r="B24" s="126">
        <v>0</v>
      </c>
      <c r="C24" s="126">
        <v>0</v>
      </c>
      <c r="D24" s="129">
        <v>0</v>
      </c>
    </row>
    <row r="25" spans="1:4" ht="14.25">
      <c r="A25" s="126" t="s">
        <v>148</v>
      </c>
      <c r="B25" s="308">
        <f>B18+B22</f>
        <v>46920.9</v>
      </c>
      <c r="C25" s="308">
        <f>C18+C22</f>
        <v>11808</v>
      </c>
      <c r="D25" s="308">
        <f>D18+D22</f>
        <v>145463</v>
      </c>
    </row>
    <row r="26" spans="1:4" ht="14.25">
      <c r="A26" s="401" t="s">
        <v>157</v>
      </c>
      <c r="B26" s="126">
        <v>0</v>
      </c>
      <c r="C26" s="126">
        <v>0</v>
      </c>
      <c r="D26" s="129">
        <v>0</v>
      </c>
    </row>
    <row r="27" spans="1:4" ht="14.25">
      <c r="A27" s="402"/>
      <c r="B27" s="138">
        <f>C27+B13-B25</f>
        <v>73290.54000000001</v>
      </c>
      <c r="C27" s="138">
        <f>D27+C13-C25</f>
        <v>113492</v>
      </c>
      <c r="D27" s="249">
        <f>D13-D25</f>
        <v>0</v>
      </c>
    </row>
    <row r="28" spans="1:4" ht="14.25">
      <c r="A28" s="403"/>
      <c r="B28" s="403"/>
      <c r="C28" s="403"/>
      <c r="D28" s="403"/>
    </row>
  </sheetData>
  <sheetProtection/>
  <mergeCells count="13">
    <mergeCell ref="A14:D14"/>
    <mergeCell ref="A26:A27"/>
    <mergeCell ref="A28:D28"/>
    <mergeCell ref="A15:A16"/>
    <mergeCell ref="B15:B16"/>
    <mergeCell ref="C15:C16"/>
    <mergeCell ref="D15:D16"/>
    <mergeCell ref="A1:D1"/>
    <mergeCell ref="A2:D2"/>
    <mergeCell ref="A3:D3"/>
    <mergeCell ref="A4:D4"/>
    <mergeCell ref="A5:D5"/>
    <mergeCell ref="A6:D6"/>
  </mergeCells>
  <hyperlinks>
    <hyperlink ref="A6:D6" location="DADOS!A1" display="voltar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6"/>
  <dimension ref="A1:H57"/>
  <sheetViews>
    <sheetView tabSelected="1" zoomScalePageLayoutView="0" workbookViewId="0" topLeftCell="A25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43" t="str">
        <f>DADOS!A3</f>
        <v>MUNICIPIO DE QUILOMBO</v>
      </c>
      <c r="B1" s="344"/>
      <c r="C1" s="344"/>
      <c r="D1" s="344"/>
      <c r="E1" s="344"/>
      <c r="F1" s="344"/>
    </row>
    <row r="2" spans="1:6" ht="12.75">
      <c r="A2" s="346" t="s">
        <v>48</v>
      </c>
      <c r="B2" s="344"/>
      <c r="C2" s="344"/>
      <c r="D2" s="344"/>
      <c r="E2" s="344"/>
      <c r="F2" s="344"/>
    </row>
    <row r="3" spans="1:6" ht="12.75">
      <c r="A3" s="346" t="s">
        <v>231</v>
      </c>
      <c r="B3" s="344"/>
      <c r="C3" s="344"/>
      <c r="D3" s="344"/>
      <c r="E3" s="344"/>
      <c r="F3" s="344"/>
    </row>
    <row r="4" spans="1:6" ht="12.75">
      <c r="A4" s="347" t="s">
        <v>239</v>
      </c>
      <c r="B4" s="348"/>
      <c r="C4" s="348"/>
      <c r="D4" s="348"/>
      <c r="E4" s="348"/>
      <c r="F4" s="348"/>
    </row>
    <row r="5" spans="1:6" ht="12.75">
      <c r="A5" s="346" t="str">
        <f>DADOS!A17</f>
        <v>Exercício de 2019</v>
      </c>
      <c r="B5" s="344"/>
      <c r="C5" s="344"/>
      <c r="D5" s="344"/>
      <c r="E5" s="344"/>
      <c r="F5" s="344"/>
    </row>
    <row r="6" spans="1:6" ht="12.75">
      <c r="A6" s="398" t="s">
        <v>316</v>
      </c>
      <c r="B6" s="398"/>
      <c r="C6" s="398"/>
      <c r="D6" s="398"/>
      <c r="E6" s="398"/>
      <c r="F6" s="399"/>
    </row>
    <row r="7" spans="1:6" ht="15.75">
      <c r="A7" s="412" t="s">
        <v>158</v>
      </c>
      <c r="B7" s="412"/>
      <c r="C7" s="413"/>
      <c r="D7" s="79"/>
      <c r="E7" s="79"/>
      <c r="F7" s="97">
        <v>1</v>
      </c>
    </row>
    <row r="8" spans="1:6" s="141" customFormat="1" ht="25.5" customHeight="1">
      <c r="A8" s="414" t="s">
        <v>159</v>
      </c>
      <c r="B8" s="414"/>
      <c r="C8" s="415"/>
      <c r="D8" s="142">
        <f>DADOS!E32-4</f>
        <v>2015</v>
      </c>
      <c r="E8" s="142">
        <f>D8+1</f>
        <v>2016</v>
      </c>
      <c r="F8" s="142">
        <f>E8+1</f>
        <v>2017</v>
      </c>
    </row>
    <row r="9" spans="1:6" ht="15.75">
      <c r="A9" s="411" t="s">
        <v>2</v>
      </c>
      <c r="B9" s="411"/>
      <c r="C9" s="411"/>
      <c r="D9" s="250">
        <f>D10+D15+D16</f>
        <v>0</v>
      </c>
      <c r="E9" s="250">
        <f>E10+E15+E16</f>
        <v>0</v>
      </c>
      <c r="F9" s="250">
        <f>F10+F15+F16</f>
        <v>0</v>
      </c>
    </row>
    <row r="10" spans="1:6" ht="15.75">
      <c r="A10" s="410" t="s">
        <v>160</v>
      </c>
      <c r="B10" s="410"/>
      <c r="C10" s="410"/>
      <c r="D10" s="251">
        <f>D11+D12+D13+D14</f>
        <v>0</v>
      </c>
      <c r="E10" s="251">
        <f>E11+E12+E13+E14</f>
        <v>0</v>
      </c>
      <c r="F10" s="251">
        <f>F11+F12+F13+F14</f>
        <v>0</v>
      </c>
    </row>
    <row r="11" spans="1:6" ht="15.75">
      <c r="A11" s="410" t="s">
        <v>161</v>
      </c>
      <c r="B11" s="410"/>
      <c r="C11" s="410"/>
      <c r="D11" s="147"/>
      <c r="E11" s="147"/>
      <c r="F11" s="147"/>
    </row>
    <row r="12" spans="1:6" ht="15.75">
      <c r="A12" s="410" t="s">
        <v>162</v>
      </c>
      <c r="B12" s="410"/>
      <c r="C12" s="410"/>
      <c r="D12" s="147"/>
      <c r="E12" s="147"/>
      <c r="F12" s="147"/>
    </row>
    <row r="13" spans="1:6" ht="15.75">
      <c r="A13" s="410" t="s">
        <v>163</v>
      </c>
      <c r="B13" s="410"/>
      <c r="C13" s="410"/>
      <c r="D13" s="147">
        <v>0</v>
      </c>
      <c r="E13" s="147">
        <v>0</v>
      </c>
      <c r="F13" s="147">
        <v>0</v>
      </c>
    </row>
    <row r="14" spans="1:6" ht="15.75">
      <c r="A14" s="410" t="s">
        <v>164</v>
      </c>
      <c r="B14" s="410"/>
      <c r="C14" s="410"/>
      <c r="D14" s="147"/>
      <c r="E14" s="147"/>
      <c r="F14" s="147"/>
    </row>
    <row r="15" spans="1:6" ht="15.75">
      <c r="A15" s="410" t="s">
        <v>165</v>
      </c>
      <c r="B15" s="410"/>
      <c r="C15" s="410"/>
      <c r="D15" s="147"/>
      <c r="E15" s="147"/>
      <c r="F15" s="147"/>
    </row>
    <row r="16" spans="1:6" ht="15.75">
      <c r="A16" s="410" t="s">
        <v>166</v>
      </c>
      <c r="B16" s="410"/>
      <c r="C16" s="410"/>
      <c r="D16" s="147"/>
      <c r="E16" s="147"/>
      <c r="F16" s="147"/>
    </row>
    <row r="17" spans="1:6" ht="15.75">
      <c r="A17" s="411" t="s">
        <v>75</v>
      </c>
      <c r="B17" s="411"/>
      <c r="C17" s="411"/>
      <c r="D17" s="250">
        <f>D18+D19</f>
        <v>0</v>
      </c>
      <c r="E17" s="250">
        <f>E18+E19</f>
        <v>0</v>
      </c>
      <c r="F17" s="250">
        <f>F18+F19</f>
        <v>0</v>
      </c>
    </row>
    <row r="18" spans="1:6" ht="15.75">
      <c r="A18" s="410" t="s">
        <v>167</v>
      </c>
      <c r="B18" s="410"/>
      <c r="C18" s="410"/>
      <c r="D18" s="147"/>
      <c r="E18" s="147"/>
      <c r="F18" s="147"/>
    </row>
    <row r="19" spans="1:6" ht="15.75">
      <c r="A19" s="410" t="s">
        <v>168</v>
      </c>
      <c r="B19" s="410"/>
      <c r="C19" s="410"/>
      <c r="D19" s="147"/>
      <c r="E19" s="147"/>
      <c r="F19" s="147"/>
    </row>
    <row r="20" spans="1:6" s="139" customFormat="1" ht="15.75">
      <c r="A20" s="411" t="s">
        <v>169</v>
      </c>
      <c r="B20" s="411"/>
      <c r="C20" s="411"/>
      <c r="D20" s="250">
        <f>D21+D24+D27+D28</f>
        <v>0</v>
      </c>
      <c r="E20" s="250">
        <f>E21+E24+E27+E28</f>
        <v>0</v>
      </c>
      <c r="F20" s="250">
        <f>F21+F24+F27+F28</f>
        <v>0</v>
      </c>
    </row>
    <row r="21" spans="1:6" ht="15.75">
      <c r="A21" s="410" t="s">
        <v>170</v>
      </c>
      <c r="B21" s="410"/>
      <c r="C21" s="410"/>
      <c r="D21" s="251">
        <f>D22+D23</f>
        <v>0</v>
      </c>
      <c r="E21" s="251">
        <f>E22+E23</f>
        <v>0</v>
      </c>
      <c r="F21" s="251">
        <f>F22+F23</f>
        <v>0</v>
      </c>
    </row>
    <row r="22" spans="1:6" ht="15.75">
      <c r="A22" s="410" t="s">
        <v>161</v>
      </c>
      <c r="B22" s="410"/>
      <c r="C22" s="410"/>
      <c r="D22" s="147"/>
      <c r="E22" s="147"/>
      <c r="F22" s="147"/>
    </row>
    <row r="23" spans="1:6" ht="15.75">
      <c r="A23" s="410" t="s">
        <v>162</v>
      </c>
      <c r="B23" s="410"/>
      <c r="C23" s="410"/>
      <c r="D23" s="147"/>
      <c r="E23" s="147"/>
      <c r="F23" s="147"/>
    </row>
    <row r="24" spans="1:6" ht="15.75">
      <c r="A24" s="410" t="s">
        <v>171</v>
      </c>
      <c r="B24" s="410"/>
      <c r="C24" s="410"/>
      <c r="D24" s="251">
        <f>D25+D26</f>
        <v>0</v>
      </c>
      <c r="E24" s="251">
        <f>E25+E26</f>
        <v>0</v>
      </c>
      <c r="F24" s="251">
        <f>F25+F26</f>
        <v>0</v>
      </c>
    </row>
    <row r="25" spans="1:6" ht="15.75">
      <c r="A25" s="410" t="s">
        <v>161</v>
      </c>
      <c r="B25" s="410"/>
      <c r="C25" s="410"/>
      <c r="D25" s="147"/>
      <c r="E25" s="147"/>
      <c r="F25" s="147"/>
    </row>
    <row r="26" spans="1:6" ht="15.75">
      <c r="A26" s="410" t="s">
        <v>162</v>
      </c>
      <c r="B26" s="410"/>
      <c r="C26" s="410"/>
      <c r="D26" s="147"/>
      <c r="E26" s="147"/>
      <c r="F26" s="147"/>
    </row>
    <row r="27" spans="1:6" ht="15.75">
      <c r="A27" s="410" t="s">
        <v>172</v>
      </c>
      <c r="B27" s="410"/>
      <c r="C27" s="410"/>
      <c r="D27" s="147"/>
      <c r="E27" s="147"/>
      <c r="F27" s="147"/>
    </row>
    <row r="28" spans="1:6" ht="15.75">
      <c r="A28" s="145" t="s">
        <v>240</v>
      </c>
      <c r="B28" s="145"/>
      <c r="C28" s="145"/>
      <c r="D28" s="147"/>
      <c r="E28" s="147"/>
      <c r="F28" s="147"/>
    </row>
    <row r="29" spans="1:6" s="139" customFormat="1" ht="15.75">
      <c r="A29" s="416" t="s">
        <v>173</v>
      </c>
      <c r="B29" s="416"/>
      <c r="C29" s="417"/>
      <c r="D29" s="252">
        <f>D9+D17+D20</f>
        <v>0</v>
      </c>
      <c r="E29" s="252">
        <f>E9+E17+E20</f>
        <v>0</v>
      </c>
      <c r="F29" s="252">
        <f>F9+F17+F20</f>
        <v>0</v>
      </c>
    </row>
    <row r="30" spans="1:6" s="141" customFormat="1" ht="25.5" customHeight="1">
      <c r="A30" s="414" t="s">
        <v>174</v>
      </c>
      <c r="B30" s="414"/>
      <c r="C30" s="415"/>
      <c r="D30" s="140">
        <f>D8</f>
        <v>2015</v>
      </c>
      <c r="E30" s="140">
        <f>E8</f>
        <v>2016</v>
      </c>
      <c r="F30" s="140">
        <f>F8</f>
        <v>2017</v>
      </c>
    </row>
    <row r="31" spans="1:6" s="139" customFormat="1" ht="15.75">
      <c r="A31" s="411" t="s">
        <v>175</v>
      </c>
      <c r="B31" s="411"/>
      <c r="C31" s="418"/>
      <c r="D31" s="253">
        <f>D32+D33</f>
        <v>0</v>
      </c>
      <c r="E31" s="253">
        <f>E32+E33</f>
        <v>0</v>
      </c>
      <c r="F31" s="253">
        <f>F32+F33</f>
        <v>0</v>
      </c>
    </row>
    <row r="32" spans="1:6" ht="15.75">
      <c r="A32" s="410" t="s">
        <v>176</v>
      </c>
      <c r="B32" s="410"/>
      <c r="C32" s="419"/>
      <c r="D32" s="130"/>
      <c r="E32" s="130"/>
      <c r="F32" s="131"/>
    </row>
    <row r="33" spans="1:6" ht="15.75">
      <c r="A33" s="410" t="s">
        <v>177</v>
      </c>
      <c r="B33" s="410"/>
      <c r="C33" s="419"/>
      <c r="D33" s="130"/>
      <c r="E33" s="130"/>
      <c r="F33" s="131"/>
    </row>
    <row r="34" spans="1:6" s="139" customFormat="1" ht="15.75">
      <c r="A34" s="411" t="s">
        <v>178</v>
      </c>
      <c r="B34" s="411"/>
      <c r="C34" s="418"/>
      <c r="D34" s="253">
        <f>D35+D36+D37</f>
        <v>0</v>
      </c>
      <c r="E34" s="253">
        <f>E35+E36+E37</f>
        <v>0</v>
      </c>
      <c r="F34" s="253">
        <f>F35+F36+F37</f>
        <v>0</v>
      </c>
    </row>
    <row r="35" spans="1:6" ht="15.75">
      <c r="A35" s="410" t="s">
        <v>179</v>
      </c>
      <c r="B35" s="410"/>
      <c r="C35" s="419"/>
      <c r="D35" s="130"/>
      <c r="E35" s="130"/>
      <c r="F35" s="131"/>
    </row>
    <row r="36" spans="1:6" ht="15.75">
      <c r="A36" s="410" t="s">
        <v>180</v>
      </c>
      <c r="B36" s="410"/>
      <c r="C36" s="419"/>
      <c r="D36" s="130"/>
      <c r="E36" s="130"/>
      <c r="F36" s="131"/>
    </row>
    <row r="37" spans="1:6" ht="15.75">
      <c r="A37" s="410" t="s">
        <v>181</v>
      </c>
      <c r="B37" s="410"/>
      <c r="C37" s="419"/>
      <c r="D37" s="254">
        <f>D38+D39</f>
        <v>0</v>
      </c>
      <c r="E37" s="254">
        <f>E38+E39</f>
        <v>0</v>
      </c>
      <c r="F37" s="254">
        <f>F38+F39</f>
        <v>0</v>
      </c>
    </row>
    <row r="38" spans="1:6" ht="15.75">
      <c r="A38" s="410" t="s">
        <v>182</v>
      </c>
      <c r="B38" s="410"/>
      <c r="C38" s="419"/>
      <c r="D38" s="130"/>
      <c r="E38" s="130"/>
      <c r="F38" s="131"/>
    </row>
    <row r="39" spans="1:6" ht="15.75">
      <c r="A39" s="410" t="s">
        <v>183</v>
      </c>
      <c r="B39" s="410"/>
      <c r="C39" s="419"/>
      <c r="D39" s="132"/>
      <c r="E39" s="132"/>
      <c r="F39" s="133"/>
    </row>
    <row r="40" spans="1:6" ht="15.75">
      <c r="A40" s="145" t="s">
        <v>241</v>
      </c>
      <c r="B40" s="145"/>
      <c r="C40" s="146"/>
      <c r="D40" s="132"/>
      <c r="E40" s="132"/>
      <c r="F40" s="133"/>
    </row>
    <row r="41" spans="1:6" s="139" customFormat="1" ht="15.75">
      <c r="A41" s="416" t="s">
        <v>184</v>
      </c>
      <c r="B41" s="416"/>
      <c r="C41" s="417"/>
      <c r="D41" s="255">
        <f>D31+D34</f>
        <v>0</v>
      </c>
      <c r="E41" s="255">
        <f>E31+E34</f>
        <v>0</v>
      </c>
      <c r="F41" s="255">
        <f>F31+F34</f>
        <v>0</v>
      </c>
    </row>
    <row r="42" spans="1:6" s="139" customFormat="1" ht="15.75">
      <c r="A42" s="416" t="s">
        <v>185</v>
      </c>
      <c r="B42" s="416"/>
      <c r="C42" s="417"/>
      <c r="D42" s="255">
        <f>D29-D41</f>
        <v>0</v>
      </c>
      <c r="E42" s="255">
        <f>E29-E41</f>
        <v>0</v>
      </c>
      <c r="F42" s="255">
        <f>F29-F41</f>
        <v>0</v>
      </c>
    </row>
    <row r="43" spans="1:6" s="139" customFormat="1" ht="15.75">
      <c r="A43" s="416" t="s">
        <v>186</v>
      </c>
      <c r="B43" s="416"/>
      <c r="C43" s="417"/>
      <c r="D43" s="143"/>
      <c r="E43" s="143"/>
      <c r="F43" s="144"/>
    </row>
    <row r="44" spans="1:6" ht="12.75">
      <c r="A44" s="420"/>
      <c r="B44" s="420"/>
      <c r="C44" s="420"/>
      <c r="D44" s="420"/>
      <c r="E44" s="420"/>
      <c r="F44" s="420"/>
    </row>
    <row r="45" spans="1:6" ht="12.75">
      <c r="A45" s="340"/>
      <c r="B45" s="340"/>
      <c r="C45" s="340"/>
      <c r="D45" s="340"/>
      <c r="E45" s="340"/>
      <c r="F45" s="421"/>
    </row>
    <row r="46" spans="1:6" ht="12.75">
      <c r="A46" s="340"/>
      <c r="B46" s="340"/>
      <c r="C46" s="340"/>
      <c r="D46" s="340"/>
      <c r="E46" s="340"/>
      <c r="F46" s="421"/>
    </row>
    <row r="47" spans="1:6" ht="12.75">
      <c r="A47" s="422" t="str">
        <f>DADOS!A3</f>
        <v>MUNICIPIO DE QUILOMBO</v>
      </c>
      <c r="B47" s="344"/>
      <c r="C47" s="344"/>
      <c r="D47" s="344"/>
      <c r="E47" s="344"/>
      <c r="F47" s="344"/>
    </row>
    <row r="48" spans="1:6" ht="12.75">
      <c r="A48" s="344" t="s">
        <v>48</v>
      </c>
      <c r="B48" s="344"/>
      <c r="C48" s="344"/>
      <c r="D48" s="344"/>
      <c r="E48" s="344"/>
      <c r="F48" s="344"/>
    </row>
    <row r="49" spans="1:6" ht="12.75">
      <c r="A49" s="344" t="s">
        <v>227</v>
      </c>
      <c r="B49" s="344"/>
      <c r="C49" s="344"/>
      <c r="D49" s="344"/>
      <c r="E49" s="344"/>
      <c r="F49" s="344"/>
    </row>
    <row r="50" spans="1:6" ht="12.75">
      <c r="A50" s="348" t="s">
        <v>242</v>
      </c>
      <c r="B50" s="348"/>
      <c r="C50" s="348"/>
      <c r="D50" s="348"/>
      <c r="E50" s="348"/>
      <c r="F50" s="348"/>
    </row>
    <row r="51" spans="1:6" ht="12.75">
      <c r="A51" s="344" t="str">
        <f>DADOS!A17</f>
        <v>Exercício de 2019</v>
      </c>
      <c r="B51" s="344"/>
      <c r="C51" s="344"/>
      <c r="D51" s="344"/>
      <c r="E51" s="344"/>
      <c r="F51" s="344"/>
    </row>
    <row r="52" spans="1:6" ht="12.75">
      <c r="A52" s="423"/>
      <c r="B52" s="423"/>
      <c r="C52" s="423"/>
      <c r="D52" s="423"/>
      <c r="E52" s="423"/>
      <c r="F52" s="423"/>
    </row>
    <row r="53" spans="1:8" s="37" customFormat="1" ht="15.75">
      <c r="A53" s="83" t="s">
        <v>158</v>
      </c>
      <c r="B53" s="84"/>
      <c r="C53" s="85"/>
      <c r="D53" s="85"/>
      <c r="E53" s="85"/>
      <c r="F53" s="98">
        <v>1</v>
      </c>
      <c r="G53" s="86"/>
      <c r="H53" s="87"/>
    </row>
    <row r="54" spans="1:6" s="38" customFormat="1" ht="33.75" customHeight="1">
      <c r="A54" s="354" t="s">
        <v>187</v>
      </c>
      <c r="B54" s="424" t="s">
        <v>188</v>
      </c>
      <c r="C54" s="62" t="s">
        <v>189</v>
      </c>
      <c r="D54" s="61" t="s">
        <v>190</v>
      </c>
      <c r="E54" s="61" t="s">
        <v>191</v>
      </c>
      <c r="F54" s="426" t="s">
        <v>243</v>
      </c>
    </row>
    <row r="55" spans="1:6" s="38" customFormat="1" ht="25.5" customHeight="1">
      <c r="A55" s="356"/>
      <c r="B55" s="425"/>
      <c r="C55" s="69" t="s">
        <v>192</v>
      </c>
      <c r="D55" s="61" t="s">
        <v>193</v>
      </c>
      <c r="E55" s="61" t="s">
        <v>194</v>
      </c>
      <c r="F55" s="427"/>
    </row>
    <row r="56" spans="1:6" ht="60" customHeight="1">
      <c r="A56" s="78"/>
      <c r="B56" s="78"/>
      <c r="C56" s="78"/>
      <c r="D56" s="82"/>
      <c r="E56" s="82"/>
      <c r="F56" s="82"/>
    </row>
    <row r="57" spans="1:6" ht="12.75">
      <c r="A57" s="350"/>
      <c r="B57" s="350"/>
      <c r="C57" s="350"/>
      <c r="D57" s="350"/>
      <c r="E57" s="350"/>
      <c r="F57" s="350"/>
    </row>
  </sheetData>
  <sheetProtection/>
  <mergeCells count="53">
    <mergeCell ref="A57:F57"/>
    <mergeCell ref="A50:F50"/>
    <mergeCell ref="A51:F51"/>
    <mergeCell ref="A52:F52"/>
    <mergeCell ref="A54:A55"/>
    <mergeCell ref="B54:B55"/>
    <mergeCell ref="F54:F55"/>
    <mergeCell ref="A43:C43"/>
    <mergeCell ref="A44:F44"/>
    <mergeCell ref="A48:F48"/>
    <mergeCell ref="A49:F49"/>
    <mergeCell ref="A45:F46"/>
    <mergeCell ref="A47:F47"/>
    <mergeCell ref="A36:C36"/>
    <mergeCell ref="A37:C37"/>
    <mergeCell ref="A41:C41"/>
    <mergeCell ref="A42:C42"/>
    <mergeCell ref="A38:C38"/>
    <mergeCell ref="A39:C39"/>
    <mergeCell ref="A30:C30"/>
    <mergeCell ref="A31:C31"/>
    <mergeCell ref="A34:C34"/>
    <mergeCell ref="A35:C35"/>
    <mergeCell ref="A32:C32"/>
    <mergeCell ref="A33:C33"/>
    <mergeCell ref="A23:C23"/>
    <mergeCell ref="A24:C24"/>
    <mergeCell ref="A27:C27"/>
    <mergeCell ref="A29:C29"/>
    <mergeCell ref="A25:C25"/>
    <mergeCell ref="A26:C26"/>
    <mergeCell ref="A15:C15"/>
    <mergeCell ref="A16:C16"/>
    <mergeCell ref="A17:C17"/>
    <mergeCell ref="A18:C18"/>
    <mergeCell ref="A21:C21"/>
    <mergeCell ref="A22:C22"/>
    <mergeCell ref="A19:C19"/>
    <mergeCell ref="A20:C20"/>
    <mergeCell ref="A7:C7"/>
    <mergeCell ref="A8:C8"/>
    <mergeCell ref="A9:C9"/>
    <mergeCell ref="A10:C10"/>
    <mergeCell ref="A11:C11"/>
    <mergeCell ref="A12:C12"/>
    <mergeCell ref="A13:C13"/>
    <mergeCell ref="A14:C14"/>
    <mergeCell ref="A1:F1"/>
    <mergeCell ref="A2:F2"/>
    <mergeCell ref="A3:F3"/>
    <mergeCell ref="A4:F4"/>
    <mergeCell ref="A5:F5"/>
    <mergeCell ref="A6:F6"/>
  </mergeCells>
  <hyperlinks>
    <hyperlink ref="A6:F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7"/>
  <dimension ref="A1:F21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27.57421875" style="0" customWidth="1"/>
    <col min="2" max="2" width="31.28125" style="0" customWidth="1"/>
    <col min="3" max="5" width="12.8515625" style="0" customWidth="1"/>
    <col min="6" max="6" width="27.57421875" style="0" customWidth="1"/>
  </cols>
  <sheetData>
    <row r="1" spans="1:6" ht="12.75">
      <c r="A1" s="343" t="str">
        <f>DADOS!A3</f>
        <v>MUNICIPIO DE QUILOMBO</v>
      </c>
      <c r="B1" s="344"/>
      <c r="C1" s="344"/>
      <c r="D1" s="344"/>
      <c r="E1" s="344"/>
      <c r="F1" s="345"/>
    </row>
    <row r="2" spans="1:6" ht="12.75">
      <c r="A2" s="346" t="s">
        <v>48</v>
      </c>
      <c r="B2" s="344"/>
      <c r="C2" s="344"/>
      <c r="D2" s="344"/>
      <c r="E2" s="344"/>
      <c r="F2" s="345"/>
    </row>
    <row r="3" spans="1:6" ht="12.75">
      <c r="A3" s="346" t="s">
        <v>330</v>
      </c>
      <c r="B3" s="344"/>
      <c r="C3" s="344"/>
      <c r="D3" s="344"/>
      <c r="E3" s="344"/>
      <c r="F3" s="345"/>
    </row>
    <row r="4" spans="1:6" ht="12.75">
      <c r="A4" s="347" t="s">
        <v>244</v>
      </c>
      <c r="B4" s="348"/>
      <c r="C4" s="348"/>
      <c r="D4" s="348"/>
      <c r="E4" s="348"/>
      <c r="F4" s="349"/>
    </row>
    <row r="5" spans="1:6" ht="12.75">
      <c r="A5" s="346" t="str">
        <f>DADOS!A17</f>
        <v>Exercício de 2019</v>
      </c>
      <c r="B5" s="344"/>
      <c r="C5" s="344"/>
      <c r="D5" s="344"/>
      <c r="E5" s="344"/>
      <c r="F5" s="345"/>
    </row>
    <row r="6" spans="1:6" ht="12.75">
      <c r="A6" s="346"/>
      <c r="B6" s="344"/>
      <c r="C6" s="344"/>
      <c r="D6" s="344"/>
      <c r="E6" s="344"/>
      <c r="F6" s="345"/>
    </row>
    <row r="7" spans="1:6" ht="15.75">
      <c r="A7" s="88" t="s">
        <v>195</v>
      </c>
      <c r="B7" s="431"/>
      <c r="C7" s="431"/>
      <c r="D7" s="431"/>
      <c r="E7" s="431"/>
      <c r="F7" s="99">
        <v>1</v>
      </c>
    </row>
    <row r="8" spans="1:6" s="38" customFormat="1" ht="12.75">
      <c r="A8" s="354" t="s">
        <v>196</v>
      </c>
      <c r="B8" s="426" t="s">
        <v>197</v>
      </c>
      <c r="C8" s="432"/>
      <c r="D8" s="432"/>
      <c r="E8" s="432"/>
      <c r="F8" s="424" t="s">
        <v>343</v>
      </c>
    </row>
    <row r="9" spans="1:6" s="38" customFormat="1" ht="12.75">
      <c r="A9" s="355"/>
      <c r="B9" s="427"/>
      <c r="C9" s="433"/>
      <c r="D9" s="433"/>
      <c r="E9" s="433"/>
      <c r="F9" s="434"/>
    </row>
    <row r="10" spans="1:6" ht="15.75" customHeight="1">
      <c r="A10" s="356"/>
      <c r="B10" s="89" t="s">
        <v>198</v>
      </c>
      <c r="C10" s="90">
        <f>DADOS!E32</f>
        <v>2019</v>
      </c>
      <c r="D10" s="90">
        <f>C10+1</f>
        <v>2020</v>
      </c>
      <c r="E10" s="323">
        <f>D10+1</f>
        <v>2021</v>
      </c>
      <c r="F10" s="425"/>
    </row>
    <row r="11" spans="1:6" ht="15.75" customHeight="1">
      <c r="A11" s="318" t="s">
        <v>331</v>
      </c>
      <c r="B11" s="319" t="s">
        <v>332</v>
      </c>
      <c r="C11" s="315">
        <v>60000</v>
      </c>
      <c r="D11" s="315">
        <v>61000</v>
      </c>
      <c r="E11" s="322">
        <v>62000</v>
      </c>
      <c r="F11" s="326"/>
    </row>
    <row r="12" spans="1:6" ht="15.75" customHeight="1">
      <c r="A12" s="318" t="s">
        <v>333</v>
      </c>
      <c r="B12" s="319" t="s">
        <v>332</v>
      </c>
      <c r="C12" s="315">
        <v>71250</v>
      </c>
      <c r="D12" s="315">
        <v>78250</v>
      </c>
      <c r="E12" s="322">
        <v>86250</v>
      </c>
      <c r="F12" s="326"/>
    </row>
    <row r="13" spans="1:6" ht="15.75" customHeight="1">
      <c r="A13" s="318" t="s">
        <v>333</v>
      </c>
      <c r="B13" s="319" t="s">
        <v>334</v>
      </c>
      <c r="C13" s="315">
        <v>3000</v>
      </c>
      <c r="D13" s="315">
        <v>3200</v>
      </c>
      <c r="E13" s="322">
        <v>3400</v>
      </c>
      <c r="F13" s="326"/>
    </row>
    <row r="14" spans="1:6" ht="15.75" customHeight="1">
      <c r="A14" s="318" t="s">
        <v>333</v>
      </c>
      <c r="B14" s="319" t="s">
        <v>335</v>
      </c>
      <c r="C14" s="315">
        <v>1800</v>
      </c>
      <c r="D14" s="315">
        <v>2000</v>
      </c>
      <c r="E14" s="322">
        <v>2200</v>
      </c>
      <c r="F14" s="326"/>
    </row>
    <row r="15" spans="1:6" ht="15.75" customHeight="1">
      <c r="A15" s="318" t="s">
        <v>333</v>
      </c>
      <c r="B15" s="319" t="s">
        <v>336</v>
      </c>
      <c r="C15" s="315">
        <v>31500</v>
      </c>
      <c r="D15" s="315">
        <v>35000</v>
      </c>
      <c r="E15" s="322">
        <v>38500</v>
      </c>
      <c r="F15" s="326"/>
    </row>
    <row r="16" spans="1:6" ht="12.75">
      <c r="A16" s="319" t="s">
        <v>337</v>
      </c>
      <c r="B16" s="320" t="s">
        <v>338</v>
      </c>
      <c r="C16" s="316">
        <v>27500</v>
      </c>
      <c r="D16" s="316">
        <v>30000</v>
      </c>
      <c r="E16" s="324">
        <v>32500</v>
      </c>
      <c r="F16" s="428"/>
    </row>
    <row r="17" spans="1:6" ht="12.75">
      <c r="A17" s="319" t="s">
        <v>333</v>
      </c>
      <c r="B17" s="320" t="s">
        <v>339</v>
      </c>
      <c r="C17" s="316">
        <v>1500</v>
      </c>
      <c r="D17" s="316">
        <v>1750</v>
      </c>
      <c r="E17" s="324">
        <v>2000</v>
      </c>
      <c r="F17" s="428"/>
    </row>
    <row r="18" spans="1:6" ht="12.75">
      <c r="A18" s="319" t="s">
        <v>340</v>
      </c>
      <c r="B18" s="320" t="s">
        <v>341</v>
      </c>
      <c r="C18" s="316">
        <v>20000</v>
      </c>
      <c r="D18" s="316">
        <v>20000</v>
      </c>
      <c r="E18" s="324">
        <v>20000</v>
      </c>
      <c r="F18" s="327"/>
    </row>
    <row r="19" spans="1:6" ht="25.5">
      <c r="A19" s="319" t="s">
        <v>333</v>
      </c>
      <c r="B19" s="321" t="s">
        <v>342</v>
      </c>
      <c r="C19" s="317">
        <v>5000</v>
      </c>
      <c r="D19" s="317">
        <v>6000</v>
      </c>
      <c r="E19" s="325">
        <v>7000</v>
      </c>
      <c r="F19" s="328"/>
    </row>
    <row r="20" spans="1:6" ht="15.75">
      <c r="A20" s="429" t="s">
        <v>142</v>
      </c>
      <c r="B20" s="430"/>
      <c r="C20" s="256">
        <f>SUM(C11:C19)</f>
        <v>221550</v>
      </c>
      <c r="D20" s="256">
        <f>SUM(D11:D19)</f>
        <v>237200</v>
      </c>
      <c r="E20" s="256">
        <f>SUM(E11:E19)</f>
        <v>253850</v>
      </c>
      <c r="F20" s="256">
        <f>SUM(F16:F19)</f>
        <v>0</v>
      </c>
    </row>
    <row r="21" spans="1:6" ht="12.75">
      <c r="A21" s="350" t="s">
        <v>344</v>
      </c>
      <c r="B21" s="350"/>
      <c r="C21" s="350"/>
      <c r="D21" s="350"/>
      <c r="E21" s="350"/>
      <c r="F21" s="350"/>
    </row>
  </sheetData>
  <sheetProtection/>
  <mergeCells count="13">
    <mergeCell ref="F16:F17"/>
    <mergeCell ref="A20:B20"/>
    <mergeCell ref="A21:F21"/>
    <mergeCell ref="B7:E7"/>
    <mergeCell ref="A8:A10"/>
    <mergeCell ref="B8:E9"/>
    <mergeCell ref="F8:F10"/>
    <mergeCell ref="A1:F1"/>
    <mergeCell ref="A2:F2"/>
    <mergeCell ref="A3:F3"/>
    <mergeCell ref="A4:F4"/>
    <mergeCell ref="A5:F5"/>
    <mergeCell ref="A6:F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8"/>
  <dimension ref="A1:B3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43" t="str">
        <f>DADOS!A3</f>
        <v>MUNICIPIO DE QUILOMBO</v>
      </c>
      <c r="B1" s="345"/>
    </row>
    <row r="2" spans="1:2" ht="12.75">
      <c r="A2" s="346" t="s">
        <v>48</v>
      </c>
      <c r="B2" s="345"/>
    </row>
    <row r="3" spans="1:2" ht="12.75">
      <c r="A3" s="346" t="s">
        <v>227</v>
      </c>
      <c r="B3" s="345"/>
    </row>
    <row r="4" spans="1:2" ht="12.75">
      <c r="A4" s="347" t="s">
        <v>288</v>
      </c>
      <c r="B4" s="349"/>
    </row>
    <row r="5" spans="1:2" ht="12.75">
      <c r="A5" s="346" t="str">
        <f>DADOS!A17</f>
        <v>Exercício de 2019</v>
      </c>
      <c r="B5" s="345"/>
    </row>
    <row r="6" spans="1:2" ht="12.75">
      <c r="A6" s="435" t="s">
        <v>316</v>
      </c>
      <c r="B6" s="435"/>
    </row>
    <row r="7" spans="1:2" ht="12.75">
      <c r="A7" s="60" t="s">
        <v>195</v>
      </c>
      <c r="B7" s="96" t="s">
        <v>302</v>
      </c>
    </row>
    <row r="8" spans="1:2" s="38" customFormat="1" ht="25.5" customHeight="1">
      <c r="A8" s="69" t="s">
        <v>199</v>
      </c>
      <c r="B8" s="76">
        <f>DADOS!E32</f>
        <v>2019</v>
      </c>
    </row>
    <row r="9" spans="1:2" ht="15.75">
      <c r="A9" s="263" t="s">
        <v>200</v>
      </c>
      <c r="B9" s="266">
        <f>B10+B11</f>
        <v>9648332.8048</v>
      </c>
    </row>
    <row r="10" spans="1:2" ht="15.75">
      <c r="A10" s="80" t="s">
        <v>276</v>
      </c>
      <c r="B10" s="265">
        <f>((Projeções!F10)*(1+Parâmetros!E15)*(1+Parâmetros!E18))-Projeções!F10</f>
        <v>320146.8048000005</v>
      </c>
    </row>
    <row r="11" spans="1:2" ht="15.75">
      <c r="A11" s="80" t="s">
        <v>277</v>
      </c>
      <c r="B11" s="265">
        <f>((Projeções!F18)*(1+Parâmetros!E15)*(1+Parâmetros!E19))-Projeções!F18</f>
        <v>9328186</v>
      </c>
    </row>
    <row r="12" spans="1:2" ht="15.75">
      <c r="A12" s="81" t="s">
        <v>297</v>
      </c>
      <c r="B12" s="265">
        <f>((Projeções!F26)*(1+Parâmetros!E15))-Projeções!F26</f>
        <v>-109382.40000000037</v>
      </c>
    </row>
    <row r="13" spans="1:2" ht="15.75">
      <c r="A13" s="264" t="s">
        <v>201</v>
      </c>
      <c r="B13" s="267">
        <f>B9+B12</f>
        <v>9538950.4048</v>
      </c>
    </row>
    <row r="14" spans="1:2" ht="15.75">
      <c r="A14" s="81" t="s">
        <v>202</v>
      </c>
      <c r="B14" s="268">
        <v>0</v>
      </c>
    </row>
    <row r="15" spans="1:2" ht="15.75">
      <c r="A15" s="81" t="s">
        <v>203</v>
      </c>
      <c r="B15" s="267">
        <f>B13+B14</f>
        <v>9538950.4048</v>
      </c>
    </row>
    <row r="16" spans="1:2" ht="15.75">
      <c r="A16" s="80" t="s">
        <v>204</v>
      </c>
      <c r="B16" s="265"/>
    </row>
    <row r="17" spans="1:2" ht="15.75">
      <c r="A17" s="264" t="s">
        <v>205</v>
      </c>
      <c r="B17" s="267">
        <f>B18+B19</f>
        <v>1740598.9159894306</v>
      </c>
    </row>
    <row r="18" spans="1:2" ht="15.75">
      <c r="A18" s="81" t="s">
        <v>278</v>
      </c>
      <c r="B18" s="265">
        <f>((Projeções!F34)*(1+Parâmetros!E16)*(1+Parâmetros!E20))-Projeções!F34</f>
        <v>572572.5879894309</v>
      </c>
    </row>
    <row r="19" spans="1:2" ht="15.75">
      <c r="A19" s="81" t="s">
        <v>279</v>
      </c>
      <c r="B19" s="265">
        <f>((Projeções!F36)*(1+Parâmetros!E15)*(1+Parâmetros!E17))-Projeções!F36</f>
        <v>1168026.3279999997</v>
      </c>
    </row>
    <row r="20" spans="1:2" ht="15.75">
      <c r="A20" s="264" t="s">
        <v>206</v>
      </c>
      <c r="B20" s="269">
        <f>IF(B15-B16-B17&lt;0,"SEM MARGEM",B15-B16-B17)</f>
        <v>7798351.488810569</v>
      </c>
    </row>
    <row r="21" spans="1:2" ht="12.75">
      <c r="A21" s="350"/>
      <c r="B21" s="350"/>
    </row>
    <row r="22" ht="12.75">
      <c r="A22" s="39" t="s">
        <v>280</v>
      </c>
    </row>
    <row r="23" spans="1:2" ht="12.75">
      <c r="A23" s="270" t="s">
        <v>281</v>
      </c>
      <c r="B23" s="270"/>
    </row>
    <row r="24" ht="12.75">
      <c r="A24" s="270" t="s">
        <v>282</v>
      </c>
    </row>
    <row r="25" ht="12.75">
      <c r="A25" s="270" t="s">
        <v>283</v>
      </c>
    </row>
    <row r="26" ht="12.75">
      <c r="A26" s="270" t="s">
        <v>325</v>
      </c>
    </row>
    <row r="27" ht="12.75">
      <c r="A27" s="270" t="s">
        <v>326</v>
      </c>
    </row>
    <row r="28" ht="12.75">
      <c r="A28" s="270" t="s">
        <v>327</v>
      </c>
    </row>
    <row r="29" ht="12.75">
      <c r="A29" t="s">
        <v>284</v>
      </c>
    </row>
    <row r="30" ht="12.75">
      <c r="A30" t="s">
        <v>285</v>
      </c>
    </row>
    <row r="31" ht="12.75">
      <c r="A31" t="s">
        <v>286</v>
      </c>
    </row>
    <row r="32" ht="12.75">
      <c r="A32" t="s">
        <v>287</v>
      </c>
    </row>
    <row r="33" ht="12.75">
      <c r="A33" t="s">
        <v>289</v>
      </c>
    </row>
    <row r="34" ht="12.75">
      <c r="A34" t="s">
        <v>290</v>
      </c>
    </row>
    <row r="35" ht="12.75">
      <c r="A35" t="s">
        <v>291</v>
      </c>
    </row>
  </sheetData>
  <sheetProtection/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9"/>
  <dimension ref="A1:D21"/>
  <sheetViews>
    <sheetView zoomScaleSheetLayoutView="95" zoomScalePageLayoutView="0" workbookViewId="0" topLeftCell="A1">
      <selection activeCell="D15" sqref="D15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36" t="s">
        <v>214</v>
      </c>
      <c r="B1" s="436"/>
      <c r="C1" s="436"/>
      <c r="D1" s="436"/>
    </row>
    <row r="2" spans="1:4" ht="12.75">
      <c r="A2" s="436"/>
      <c r="B2" s="436"/>
      <c r="C2" s="436"/>
      <c r="D2" s="436"/>
    </row>
    <row r="3" spans="1:4" ht="12.75">
      <c r="A3" s="437" t="str">
        <f>DADOS!A3</f>
        <v>MUNICIPIO DE QUILOMBO</v>
      </c>
      <c r="B3" s="438"/>
      <c r="C3" s="438"/>
      <c r="D3" s="438"/>
    </row>
    <row r="4" spans="1:4" ht="12.75">
      <c r="A4" s="438" t="s">
        <v>48</v>
      </c>
      <c r="B4" s="438"/>
      <c r="C4" s="438"/>
      <c r="D4" s="438"/>
    </row>
    <row r="5" spans="1:4" ht="12.75">
      <c r="A5" s="438" t="s">
        <v>209</v>
      </c>
      <c r="B5" s="438"/>
      <c r="C5" s="438"/>
      <c r="D5" s="438"/>
    </row>
    <row r="6" spans="1:4" ht="21" customHeight="1">
      <c r="A6" s="439" t="s">
        <v>207</v>
      </c>
      <c r="B6" s="439"/>
      <c r="C6" s="439"/>
      <c r="D6" s="439"/>
    </row>
    <row r="7" spans="1:4" ht="12.75">
      <c r="A7" s="438" t="str">
        <f>DADOS!A17</f>
        <v>Exercício de 2019</v>
      </c>
      <c r="B7" s="438"/>
      <c r="C7" s="438"/>
      <c r="D7" s="438"/>
    </row>
    <row r="8" spans="1:4" ht="12.75">
      <c r="A8" s="440"/>
      <c r="B8" s="440"/>
      <c r="C8" s="440"/>
      <c r="D8" s="440"/>
    </row>
    <row r="9" spans="1:4" ht="12.75">
      <c r="A9" s="441" t="s">
        <v>208</v>
      </c>
      <c r="B9" s="441"/>
      <c r="C9" s="442">
        <v>1</v>
      </c>
      <c r="D9" s="443"/>
    </row>
    <row r="10" spans="1:4" ht="12.75">
      <c r="A10" s="444" t="s">
        <v>209</v>
      </c>
      <c r="B10" s="445"/>
      <c r="C10" s="446" t="s">
        <v>210</v>
      </c>
      <c r="D10" s="444"/>
    </row>
    <row r="11" spans="1:4" ht="12.75">
      <c r="A11" s="77" t="s">
        <v>211</v>
      </c>
      <c r="B11" s="77" t="s">
        <v>106</v>
      </c>
      <c r="C11" s="77" t="s">
        <v>211</v>
      </c>
      <c r="D11" s="91" t="s">
        <v>106</v>
      </c>
    </row>
    <row r="12" spans="1:4" ht="12.75">
      <c r="A12" s="92" t="s">
        <v>322</v>
      </c>
      <c r="B12" s="134"/>
      <c r="C12" s="92" t="s">
        <v>324</v>
      </c>
      <c r="D12" s="136"/>
    </row>
    <row r="13" spans="1:4" ht="12.75">
      <c r="A13" s="92" t="s">
        <v>328</v>
      </c>
      <c r="B13" s="134"/>
      <c r="C13" s="92" t="s">
        <v>323</v>
      </c>
      <c r="D13" s="136">
        <v>340000</v>
      </c>
    </row>
    <row r="14" spans="1:4" ht="12.75">
      <c r="A14" s="92" t="s">
        <v>329</v>
      </c>
      <c r="B14" s="134">
        <v>340000</v>
      </c>
      <c r="C14" s="92"/>
      <c r="D14" s="136"/>
    </row>
    <row r="15" spans="1:4" ht="12.75">
      <c r="A15" s="92"/>
      <c r="B15" s="134"/>
      <c r="C15" s="92"/>
      <c r="D15" s="136"/>
    </row>
    <row r="16" spans="1:4" ht="12.75">
      <c r="A16" s="94"/>
      <c r="B16" s="135"/>
      <c r="C16" s="94"/>
      <c r="D16" s="137"/>
    </row>
    <row r="17" spans="1:4" ht="12.75">
      <c r="A17" s="95" t="s">
        <v>142</v>
      </c>
      <c r="B17" s="257">
        <f>SUM(B12:B16)</f>
        <v>340000</v>
      </c>
      <c r="C17" s="95" t="s">
        <v>142</v>
      </c>
      <c r="D17" s="257">
        <f>SUM(D12:D16)</f>
        <v>340000</v>
      </c>
    </row>
    <row r="18" spans="1:4" ht="12.75">
      <c r="A18" s="280"/>
      <c r="B18" s="93"/>
      <c r="C18" s="93"/>
      <c r="D18" s="93"/>
    </row>
    <row r="21" ht="12.75">
      <c r="A21" s="310" t="s">
        <v>316</v>
      </c>
    </row>
  </sheetData>
  <sheetProtection/>
  <mergeCells count="12">
    <mergeCell ref="A7:D7"/>
    <mergeCell ref="A8:D8"/>
    <mergeCell ref="A9:B9"/>
    <mergeCell ref="C9:D9"/>
    <mergeCell ref="A10:B10"/>
    <mergeCell ref="C10:D10"/>
    <mergeCell ref="A1:D1"/>
    <mergeCell ref="A2:D2"/>
    <mergeCell ref="A3:D3"/>
    <mergeCell ref="A4:D4"/>
    <mergeCell ref="A5:D5"/>
    <mergeCell ref="A6:D6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F51"/>
  <sheetViews>
    <sheetView zoomScale="75" zoomScaleNormal="75" zoomScaleSheetLayoutView="80" zoomScalePageLayoutView="0" workbookViewId="0" topLeftCell="A1">
      <selection activeCell="F17" sqref="F17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0" customWidth="1"/>
    <col min="4" max="5" width="21.421875" style="40" customWidth="1"/>
    <col min="6" max="6" width="19.57421875" style="40" customWidth="1"/>
    <col min="7" max="7" width="19.7109375" style="0" customWidth="1"/>
    <col min="8" max="8" width="19.421875" style="0" customWidth="1"/>
  </cols>
  <sheetData>
    <row r="1" spans="1:6" s="45" customFormat="1" ht="33.75" customHeight="1">
      <c r="A1" s="45" t="s">
        <v>101</v>
      </c>
      <c r="B1" s="45" t="s">
        <v>102</v>
      </c>
      <c r="C1" s="306">
        <f>DADOS!$E$32-4</f>
        <v>2015</v>
      </c>
      <c r="D1" s="306">
        <f>DADOS!$E$32-3</f>
        <v>2016</v>
      </c>
      <c r="E1" s="306">
        <f>DADOS!$E$32-2</f>
        <v>2017</v>
      </c>
      <c r="F1" s="306">
        <f>DADOS!$E$32-1</f>
        <v>2018</v>
      </c>
    </row>
    <row r="2" spans="3:6" s="148" customFormat="1" ht="18" customHeight="1">
      <c r="C2" s="149" t="s">
        <v>250</v>
      </c>
      <c r="D2" s="149" t="s">
        <v>250</v>
      </c>
      <c r="E2" s="149" t="s">
        <v>250</v>
      </c>
      <c r="F2" s="149" t="s">
        <v>251</v>
      </c>
    </row>
    <row r="3" spans="1:6" s="39" customFormat="1" ht="12.75">
      <c r="A3" s="153" t="s">
        <v>57</v>
      </c>
      <c r="B3" s="154" t="s">
        <v>2</v>
      </c>
      <c r="C3" s="166">
        <f>C4+C5+C6+C9+C10+C11+C12+C13</f>
        <v>30624705.759999998</v>
      </c>
      <c r="D3" s="166">
        <f>D4+D5+D6+D9+D10+D11+D12+D13</f>
        <v>31048795.56</v>
      </c>
      <c r="E3" s="166">
        <f>E4+E5+E6+E9+E10+E11+E12+E13</f>
        <v>33128298.61</v>
      </c>
      <c r="F3" s="166">
        <f>F4+F5+F6+F9+F10+F11+F12+F13</f>
        <v>37137600</v>
      </c>
    </row>
    <row r="4" spans="1:6" s="39" customFormat="1" ht="12.75">
      <c r="A4" s="157" t="s">
        <v>58</v>
      </c>
      <c r="B4" s="158" t="s">
        <v>59</v>
      </c>
      <c r="C4" s="168">
        <v>2391392.73</v>
      </c>
      <c r="D4" s="168">
        <v>2625233.82</v>
      </c>
      <c r="E4" s="168">
        <v>2792439.49</v>
      </c>
      <c r="F4" s="168">
        <v>2532807</v>
      </c>
    </row>
    <row r="5" spans="1:6" s="39" customFormat="1" ht="12.75">
      <c r="A5" s="157" t="s">
        <v>60</v>
      </c>
      <c r="B5" s="158" t="s">
        <v>61</v>
      </c>
      <c r="C5" s="168">
        <v>183301.11</v>
      </c>
      <c r="D5" s="168">
        <v>198837.73</v>
      </c>
      <c r="E5" s="168">
        <v>198038.68</v>
      </c>
      <c r="F5" s="168">
        <v>180000</v>
      </c>
    </row>
    <row r="6" spans="1:6" s="39" customFormat="1" ht="12.75">
      <c r="A6" s="157" t="s">
        <v>62</v>
      </c>
      <c r="B6" s="158" t="s">
        <v>3</v>
      </c>
      <c r="C6" s="166">
        <f>C7+C8</f>
        <v>422635.71</v>
      </c>
      <c r="D6" s="166">
        <f>D7+D8</f>
        <v>332240.42</v>
      </c>
      <c r="E6" s="166">
        <f>E7+E8</f>
        <v>252585.17</v>
      </c>
      <c r="F6" s="166">
        <f>F7+F8</f>
        <v>372950</v>
      </c>
    </row>
    <row r="7" spans="1:6" ht="12.75">
      <c r="A7" s="157" t="s">
        <v>63</v>
      </c>
      <c r="B7" s="158" t="s">
        <v>245</v>
      </c>
      <c r="C7" s="168">
        <v>413425.78</v>
      </c>
      <c r="D7" s="168">
        <v>316329.6</v>
      </c>
      <c r="E7" s="168">
        <v>239672.66</v>
      </c>
      <c r="F7" s="168">
        <v>283950</v>
      </c>
    </row>
    <row r="8" spans="1:6" ht="12.75">
      <c r="A8" s="157" t="s">
        <v>64</v>
      </c>
      <c r="B8" s="158" t="s">
        <v>65</v>
      </c>
      <c r="C8" s="168">
        <v>9209.93</v>
      </c>
      <c r="D8" s="168">
        <v>15910.82</v>
      </c>
      <c r="E8" s="168">
        <v>12912.51</v>
      </c>
      <c r="F8" s="168">
        <v>89000</v>
      </c>
    </row>
    <row r="9" spans="1:6" ht="12.75">
      <c r="A9" s="157" t="s">
        <v>66</v>
      </c>
      <c r="B9" s="158" t="s">
        <v>67</v>
      </c>
      <c r="C9" s="168">
        <v>0</v>
      </c>
      <c r="D9" s="168">
        <v>0</v>
      </c>
      <c r="E9" s="168">
        <v>0</v>
      </c>
      <c r="F9" s="168">
        <v>20000</v>
      </c>
    </row>
    <row r="10" spans="1:6" ht="12.75">
      <c r="A10" s="157" t="s">
        <v>68</v>
      </c>
      <c r="B10" s="158" t="s">
        <v>4</v>
      </c>
      <c r="C10" s="168">
        <v>0</v>
      </c>
      <c r="D10" s="168">
        <v>0</v>
      </c>
      <c r="E10" s="168">
        <v>0</v>
      </c>
      <c r="F10" s="168">
        <v>0</v>
      </c>
    </row>
    <row r="11" spans="1:6" ht="12.75">
      <c r="A11" s="157" t="s">
        <v>69</v>
      </c>
      <c r="B11" s="158" t="s">
        <v>70</v>
      </c>
      <c r="C11" s="168">
        <v>5260.54</v>
      </c>
      <c r="D11" s="168">
        <v>10007.64</v>
      </c>
      <c r="E11" s="168">
        <v>3079.8</v>
      </c>
      <c r="F11" s="168">
        <v>224500</v>
      </c>
    </row>
    <row r="12" spans="1:6" s="39" customFormat="1" ht="12.75">
      <c r="A12" s="157" t="s">
        <v>71</v>
      </c>
      <c r="B12" s="158" t="s">
        <v>72</v>
      </c>
      <c r="C12" s="168">
        <v>27281196.18</v>
      </c>
      <c r="D12" s="168">
        <v>27543385.63</v>
      </c>
      <c r="E12" s="168">
        <v>29687493.15</v>
      </c>
      <c r="F12" s="168">
        <v>33314950</v>
      </c>
    </row>
    <row r="13" spans="1:6" s="39" customFormat="1" ht="12.75">
      <c r="A13" s="157" t="s">
        <v>73</v>
      </c>
      <c r="B13" s="158" t="s">
        <v>5</v>
      </c>
      <c r="C13" s="168">
        <v>340919.49</v>
      </c>
      <c r="D13" s="168">
        <v>339090.32</v>
      </c>
      <c r="E13" s="168">
        <v>194662.32</v>
      </c>
      <c r="F13" s="168">
        <v>492393</v>
      </c>
    </row>
    <row r="14" spans="1:6" s="39" customFormat="1" ht="12.75">
      <c r="A14" s="155" t="s">
        <v>74</v>
      </c>
      <c r="B14" s="156" t="s">
        <v>75</v>
      </c>
      <c r="C14" s="166">
        <f>C15+C16+C17+C18+C19</f>
        <v>3889235.05</v>
      </c>
      <c r="D14" s="166">
        <f>D15+D16+D17+D18+D19</f>
        <v>2391857.5700000003</v>
      </c>
      <c r="E14" s="166">
        <f>E15+E16+E17+E18+E19</f>
        <v>1927227.4600000002</v>
      </c>
      <c r="F14" s="166">
        <f>F15+F16+F17+F18+F19</f>
        <v>145249.5</v>
      </c>
    </row>
    <row r="15" spans="1:6" s="39" customFormat="1" ht="12.75">
      <c r="A15" s="157" t="s">
        <v>76</v>
      </c>
      <c r="B15" s="158" t="s">
        <v>77</v>
      </c>
      <c r="C15" s="168">
        <v>0</v>
      </c>
      <c r="D15" s="168">
        <v>0</v>
      </c>
      <c r="E15" s="168">
        <v>0</v>
      </c>
      <c r="F15" s="168">
        <v>0</v>
      </c>
    </row>
    <row r="16" spans="1:6" s="39" customFormat="1" ht="12.75">
      <c r="A16" s="157" t="s">
        <v>78</v>
      </c>
      <c r="B16" s="158" t="s">
        <v>79</v>
      </c>
      <c r="C16" s="168">
        <v>145463</v>
      </c>
      <c r="D16" s="168">
        <v>125300</v>
      </c>
      <c r="E16" s="168">
        <v>0</v>
      </c>
      <c r="F16" s="168">
        <v>0</v>
      </c>
    </row>
    <row r="17" spans="1:6" ht="12.75">
      <c r="A17" s="157" t="s">
        <v>80</v>
      </c>
      <c r="B17" s="158" t="s">
        <v>81</v>
      </c>
      <c r="C17" s="168">
        <v>84617.59</v>
      </c>
      <c r="D17" s="168">
        <v>119448.58</v>
      </c>
      <c r="E17" s="168">
        <v>80150.85</v>
      </c>
      <c r="F17" s="168">
        <v>145249.5</v>
      </c>
    </row>
    <row r="18" spans="1:6" s="39" customFormat="1" ht="12.75">
      <c r="A18" s="157" t="s">
        <v>82</v>
      </c>
      <c r="B18" s="158" t="s">
        <v>83</v>
      </c>
      <c r="C18" s="168">
        <v>3659154.46</v>
      </c>
      <c r="D18" s="168">
        <v>2147108.99</v>
      </c>
      <c r="E18" s="168">
        <v>1847076.61</v>
      </c>
      <c r="F18" s="168">
        <v>0</v>
      </c>
    </row>
    <row r="19" spans="1:6" ht="12.75">
      <c r="A19" s="157" t="s">
        <v>84</v>
      </c>
      <c r="B19" s="158" t="s">
        <v>6</v>
      </c>
      <c r="C19" s="168">
        <v>0</v>
      </c>
      <c r="D19" s="168">
        <v>0</v>
      </c>
      <c r="E19" s="168">
        <v>0</v>
      </c>
      <c r="F19" s="168">
        <v>0</v>
      </c>
    </row>
    <row r="20" spans="1:6" ht="12.75">
      <c r="A20" s="157" t="s">
        <v>246</v>
      </c>
      <c r="B20" s="156" t="s">
        <v>258</v>
      </c>
      <c r="C20" s="168">
        <v>-3537182.71</v>
      </c>
      <c r="D20" s="168">
        <v>-3436752.75</v>
      </c>
      <c r="E20" s="168">
        <v>-3730457.18</v>
      </c>
      <c r="F20" s="168">
        <v>-4557600</v>
      </c>
    </row>
    <row r="21" spans="1:6" ht="12.75">
      <c r="A21" s="157"/>
      <c r="B21" s="158"/>
      <c r="C21" s="168">
        <v>0</v>
      </c>
      <c r="D21" s="168">
        <v>0</v>
      </c>
      <c r="E21" s="168">
        <v>0</v>
      </c>
      <c r="F21" s="168">
        <v>0</v>
      </c>
    </row>
    <row r="22" spans="1:6" s="39" customFormat="1" ht="12.75">
      <c r="A22" s="160"/>
      <c r="B22" s="159" t="s">
        <v>85</v>
      </c>
      <c r="C22" s="166">
        <f>C3+C14+C20</f>
        <v>30976758.099999994</v>
      </c>
      <c r="D22" s="166">
        <f>D3+D14+D20</f>
        <v>30003900.38</v>
      </c>
      <c r="E22" s="166">
        <f>E3+E14+E20</f>
        <v>31325068.89</v>
      </c>
      <c r="F22" s="166">
        <f>F3+F14+F20</f>
        <v>32725249.5</v>
      </c>
    </row>
    <row r="24" spans="1:6" s="45" customFormat="1" ht="33.75" customHeight="1">
      <c r="A24" s="45" t="s">
        <v>101</v>
      </c>
      <c r="B24" s="45" t="s">
        <v>102</v>
      </c>
      <c r="C24" s="46">
        <f>C1</f>
        <v>2015</v>
      </c>
      <c r="D24" s="46">
        <f>D1</f>
        <v>2016</v>
      </c>
      <c r="E24" s="46">
        <f>E1</f>
        <v>2017</v>
      </c>
      <c r="F24" s="46">
        <f>F1</f>
        <v>2018</v>
      </c>
    </row>
    <row r="25" spans="3:6" s="148" customFormat="1" ht="20.25" customHeight="1">
      <c r="C25" s="149" t="s">
        <v>252</v>
      </c>
      <c r="D25" s="149" t="s">
        <v>252</v>
      </c>
      <c r="E25" s="149" t="s">
        <v>252</v>
      </c>
      <c r="F25" s="149" t="s">
        <v>251</v>
      </c>
    </row>
    <row r="26" spans="1:6" s="39" customFormat="1" ht="12.75">
      <c r="A26" s="150" t="s">
        <v>86</v>
      </c>
      <c r="B26" s="163" t="s">
        <v>7</v>
      </c>
      <c r="C26" s="166">
        <f>C27+C28+C29</f>
        <v>26831720.060000002</v>
      </c>
      <c r="D26" s="166">
        <f>D27+D28+D29</f>
        <v>28347407.67</v>
      </c>
      <c r="E26" s="166">
        <f>E27+E28+E29</f>
        <v>26443685.270000003</v>
      </c>
      <c r="F26" s="166">
        <f>F27+F28+F29</f>
        <v>31227328</v>
      </c>
    </row>
    <row r="27" spans="1:6" s="39" customFormat="1" ht="12.75">
      <c r="A27" s="151" t="s">
        <v>87</v>
      </c>
      <c r="B27" s="161" t="s">
        <v>88</v>
      </c>
      <c r="C27" s="168">
        <v>13900026.94</v>
      </c>
      <c r="D27" s="168">
        <v>14724430.84</v>
      </c>
      <c r="E27" s="168">
        <v>14044297.42</v>
      </c>
      <c r="F27" s="168">
        <v>15675063</v>
      </c>
    </row>
    <row r="28" spans="1:6" ht="12.75">
      <c r="A28" s="152" t="s">
        <v>89</v>
      </c>
      <c r="B28" s="161" t="s">
        <v>257</v>
      </c>
      <c r="C28" s="168">
        <v>46955.32</v>
      </c>
      <c r="D28" s="168">
        <v>20610.19</v>
      </c>
      <c r="E28" s="168">
        <v>1327.3</v>
      </c>
      <c r="F28" s="168">
        <v>20000</v>
      </c>
    </row>
    <row r="29" spans="1:6" s="39" customFormat="1" ht="12.75">
      <c r="A29" s="151" t="s">
        <v>91</v>
      </c>
      <c r="B29" s="161" t="s">
        <v>92</v>
      </c>
      <c r="C29" s="168">
        <v>12884737.8</v>
      </c>
      <c r="D29" s="168">
        <v>13602366.64</v>
      </c>
      <c r="E29" s="168">
        <v>12398060.55</v>
      </c>
      <c r="F29" s="168">
        <v>15532265</v>
      </c>
    </row>
    <row r="30" spans="1:6" s="39" customFormat="1" ht="12.75">
      <c r="A30" s="151" t="s">
        <v>93</v>
      </c>
      <c r="B30" s="164" t="s">
        <v>8</v>
      </c>
      <c r="C30" s="166">
        <f>C31+C32+C35</f>
        <v>5067271.45</v>
      </c>
      <c r="D30" s="166">
        <f>D31+D32+D35</f>
        <v>2918601.64</v>
      </c>
      <c r="E30" s="166">
        <f>E31+E32+E35</f>
        <v>2318444.64</v>
      </c>
      <c r="F30" s="166">
        <f>F31+F32+F35</f>
        <v>1137672</v>
      </c>
    </row>
    <row r="31" spans="1:6" s="39" customFormat="1" ht="12.75">
      <c r="A31" s="151" t="s">
        <v>94</v>
      </c>
      <c r="B31" s="161" t="s">
        <v>9</v>
      </c>
      <c r="C31" s="168">
        <v>4744236.48</v>
      </c>
      <c r="D31" s="168">
        <v>2609161.66</v>
      </c>
      <c r="E31" s="168">
        <v>2300832.97</v>
      </c>
      <c r="F31" s="168">
        <v>1057672</v>
      </c>
    </row>
    <row r="32" spans="1:6" s="39" customFormat="1" ht="12.75">
      <c r="A32" s="151" t="s">
        <v>95</v>
      </c>
      <c r="B32" s="161" t="s">
        <v>10</v>
      </c>
      <c r="C32" s="166">
        <f>C33+C34</f>
        <v>0</v>
      </c>
      <c r="D32" s="166">
        <f>D33+D34</f>
        <v>0</v>
      </c>
      <c r="E32" s="166">
        <f>E33+E34</f>
        <v>0</v>
      </c>
      <c r="F32" s="166">
        <f>F33+F34</f>
        <v>15000</v>
      </c>
    </row>
    <row r="33" spans="1:6" ht="12.75">
      <c r="A33" s="152" t="s">
        <v>96</v>
      </c>
      <c r="B33" s="161" t="s">
        <v>97</v>
      </c>
      <c r="C33" s="168">
        <v>0</v>
      </c>
      <c r="D33" s="168">
        <v>0</v>
      </c>
      <c r="E33" s="168">
        <v>0</v>
      </c>
      <c r="F33" s="168">
        <v>0</v>
      </c>
    </row>
    <row r="34" spans="1:6" ht="12.75">
      <c r="A34" s="152" t="s">
        <v>248</v>
      </c>
      <c r="B34" s="161" t="s">
        <v>249</v>
      </c>
      <c r="C34" s="168">
        <v>0</v>
      </c>
      <c r="D34" s="168">
        <v>0</v>
      </c>
      <c r="E34" s="168">
        <v>0</v>
      </c>
      <c r="F34" s="168">
        <v>15000</v>
      </c>
    </row>
    <row r="35" spans="1:6" s="39" customFormat="1" ht="12.75">
      <c r="A35" s="151" t="s">
        <v>98</v>
      </c>
      <c r="B35" s="161" t="s">
        <v>99</v>
      </c>
      <c r="C35" s="168">
        <v>323034.97</v>
      </c>
      <c r="D35" s="168">
        <v>309439.98</v>
      </c>
      <c r="E35" s="168">
        <v>17611.67</v>
      </c>
      <c r="F35" s="168">
        <v>65000</v>
      </c>
    </row>
    <row r="36" spans="1:6" s="39" customFormat="1" ht="12.75">
      <c r="A36" s="151"/>
      <c r="B36" s="161"/>
      <c r="C36" s="169"/>
      <c r="D36" s="169"/>
      <c r="E36" s="169"/>
      <c r="F36" s="169"/>
    </row>
    <row r="37" spans="1:6" s="39" customFormat="1" ht="12.75">
      <c r="A37" s="151" t="s">
        <v>259</v>
      </c>
      <c r="B37" s="161" t="s">
        <v>260</v>
      </c>
      <c r="C37" s="258"/>
      <c r="D37" s="258"/>
      <c r="E37" s="258"/>
      <c r="F37" s="166">
        <v>340000</v>
      </c>
    </row>
    <row r="38" spans="1:6" ht="12.75">
      <c r="A38" s="152"/>
      <c r="B38" s="161"/>
      <c r="C38" s="169"/>
      <c r="D38" s="169"/>
      <c r="E38" s="169"/>
      <c r="F38" s="169"/>
    </row>
    <row r="39" spans="1:6" s="39" customFormat="1" ht="12.75">
      <c r="A39" s="155"/>
      <c r="B39" s="164" t="s">
        <v>100</v>
      </c>
      <c r="C39" s="166">
        <f>C26+C30+C37</f>
        <v>31898991.51</v>
      </c>
      <c r="D39" s="166">
        <f>D26+D30+D37</f>
        <v>31266009.310000002</v>
      </c>
      <c r="E39" s="166">
        <f>E26+E30+E37</f>
        <v>28762129.910000004</v>
      </c>
      <c r="F39" s="166">
        <f>F26+F30+F37</f>
        <v>32705000</v>
      </c>
    </row>
    <row r="40" spans="1:6" ht="13.5" thickBot="1">
      <c r="A40" s="152"/>
      <c r="B40" s="161"/>
      <c r="C40" s="169"/>
      <c r="D40" s="169"/>
      <c r="E40" s="169"/>
      <c r="F40" s="169"/>
    </row>
    <row r="41" spans="1:6" ht="13.5" thickTop="1">
      <c r="A41" s="152"/>
      <c r="B41" s="259" t="s">
        <v>274</v>
      </c>
      <c r="C41" s="43">
        <f>C24</f>
        <v>2015</v>
      </c>
      <c r="D41" s="43">
        <f>D24</f>
        <v>2016</v>
      </c>
      <c r="E41" s="43">
        <f>E24</f>
        <v>2017</v>
      </c>
      <c r="F41" s="44">
        <f>F24</f>
        <v>2018</v>
      </c>
    </row>
    <row r="42" spans="1:6" s="39" customFormat="1" ht="12.75">
      <c r="A42" s="155"/>
      <c r="B42" s="161" t="s">
        <v>296</v>
      </c>
      <c r="C42" s="167">
        <v>27565000</v>
      </c>
      <c r="D42" s="167">
        <v>29880000</v>
      </c>
      <c r="E42" s="167">
        <v>32705000</v>
      </c>
      <c r="F42" s="167">
        <v>34000000</v>
      </c>
    </row>
    <row r="43" spans="1:6" ht="12.75">
      <c r="A43" s="152"/>
      <c r="B43" s="161" t="s">
        <v>215</v>
      </c>
      <c r="C43" s="168">
        <v>252500</v>
      </c>
      <c r="D43" s="168">
        <v>276060</v>
      </c>
      <c r="E43" s="168">
        <v>283950</v>
      </c>
      <c r="F43" s="168">
        <v>299950</v>
      </c>
    </row>
    <row r="44" spans="1:6" ht="12.75">
      <c r="A44" s="152"/>
      <c r="B44" s="161" t="s">
        <v>216</v>
      </c>
      <c r="C44" s="168">
        <f>C15</f>
        <v>0</v>
      </c>
      <c r="D44" s="168">
        <f>D15</f>
        <v>0</v>
      </c>
      <c r="E44" s="168">
        <f>E15</f>
        <v>0</v>
      </c>
      <c r="F44" s="168">
        <f>F15</f>
        <v>0</v>
      </c>
    </row>
    <row r="45" spans="1:6" ht="12.75">
      <c r="A45" s="152"/>
      <c r="B45" s="161" t="s">
        <v>217</v>
      </c>
      <c r="C45" s="168">
        <f>C16</f>
        <v>145463</v>
      </c>
      <c r="D45" s="168">
        <f>D16</f>
        <v>125300</v>
      </c>
      <c r="E45" s="168">
        <v>6000</v>
      </c>
      <c r="F45" s="168">
        <v>5000</v>
      </c>
    </row>
    <row r="46" spans="1:6" ht="12.75">
      <c r="A46" s="152"/>
      <c r="B46" s="161" t="s">
        <v>222</v>
      </c>
      <c r="C46" s="168">
        <f>C17</f>
        <v>84617.59</v>
      </c>
      <c r="D46" s="168">
        <f>D17</f>
        <v>119448.58</v>
      </c>
      <c r="E46" s="168">
        <v>120000</v>
      </c>
      <c r="F46" s="168">
        <v>120000</v>
      </c>
    </row>
    <row r="47" spans="1:6" s="39" customFormat="1" ht="12.75">
      <c r="A47" s="155"/>
      <c r="B47" s="161" t="s">
        <v>218</v>
      </c>
      <c r="C47" s="167">
        <v>27565000</v>
      </c>
      <c r="D47" s="167">
        <v>29880000</v>
      </c>
      <c r="E47" s="167">
        <v>32705000</v>
      </c>
      <c r="F47" s="167">
        <v>34000000</v>
      </c>
    </row>
    <row r="48" spans="1:6" ht="12.75">
      <c r="A48" s="152"/>
      <c r="B48" s="161" t="s">
        <v>90</v>
      </c>
      <c r="C48" s="168">
        <f>C28</f>
        <v>46955.32</v>
      </c>
      <c r="D48" s="168">
        <f>D28</f>
        <v>20610.19</v>
      </c>
      <c r="E48" s="168">
        <v>20000</v>
      </c>
      <c r="F48" s="168">
        <v>20000</v>
      </c>
    </row>
    <row r="49" spans="1:6" ht="12.75">
      <c r="A49" s="152"/>
      <c r="B49" s="161" t="s">
        <v>219</v>
      </c>
      <c r="C49" s="168">
        <f>C35</f>
        <v>323034.97</v>
      </c>
      <c r="D49" s="168">
        <f>D35</f>
        <v>309439.98</v>
      </c>
      <c r="E49" s="168">
        <v>65000</v>
      </c>
      <c r="F49" s="168">
        <v>65000</v>
      </c>
    </row>
    <row r="50" spans="1:6" ht="12.75">
      <c r="A50" s="152"/>
      <c r="B50" s="161" t="s">
        <v>220</v>
      </c>
      <c r="C50" s="168">
        <v>0</v>
      </c>
      <c r="D50" s="168">
        <v>0</v>
      </c>
      <c r="E50" s="168">
        <v>0</v>
      </c>
      <c r="F50" s="168">
        <v>0</v>
      </c>
    </row>
    <row r="51" spans="1:2" ht="12.75">
      <c r="A51" s="165"/>
      <c r="B51" s="162"/>
    </row>
  </sheetData>
  <sheetProtection/>
  <printOptions/>
  <pageMargins left="0.787401575" right="0.787401575" top="1.534251969" bottom="0.984251969" header="0.492125985" footer="0.492125985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H39"/>
  <sheetViews>
    <sheetView showGridLines="0" zoomScale="90" zoomScaleNormal="90" zoomScalePageLayoutView="0" workbookViewId="0" topLeftCell="A1">
      <selection activeCell="H8" sqref="H8"/>
    </sheetView>
  </sheetViews>
  <sheetFormatPr defaultColWidth="32.00390625" defaultRowHeight="12.75"/>
  <cols>
    <col min="1" max="1" width="3.7109375" style="1" customWidth="1"/>
    <col min="2" max="2" width="44.7109375" style="1" customWidth="1"/>
    <col min="3" max="3" width="16.7109375" style="3" customWidth="1"/>
    <col min="4" max="4" width="17.421875" style="29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10" t="s">
        <v>315</v>
      </c>
    </row>
    <row r="2" spans="1:4" ht="28.5" customHeight="1">
      <c r="A2"/>
      <c r="B2" s="49" t="s">
        <v>225</v>
      </c>
      <c r="D2" s="220"/>
    </row>
    <row r="3" spans="2:4" ht="15.75">
      <c r="B3" s="49"/>
      <c r="D3" s="220"/>
    </row>
    <row r="4" spans="2:4" ht="16.5" thickBot="1">
      <c r="B4" s="148"/>
      <c r="D4" s="220"/>
    </row>
    <row r="5" spans="2:8" ht="16.5" thickTop="1">
      <c r="B5" s="341"/>
      <c r="C5" s="221">
        <f>DADOS!$E$32-3</f>
        <v>2016</v>
      </c>
      <c r="D5" s="221">
        <f>DADOS!$E$32-2</f>
        <v>2017</v>
      </c>
      <c r="E5" s="221">
        <f>DADOS!$E$32-1</f>
        <v>2018</v>
      </c>
      <c r="F5" s="221">
        <f>DADOS!$E$32-0</f>
        <v>2019</v>
      </c>
      <c r="G5" s="221">
        <f>DADOS!$E$32+1</f>
        <v>2020</v>
      </c>
      <c r="H5" s="221">
        <f>DADOS!$E$32+2</f>
        <v>2021</v>
      </c>
    </row>
    <row r="6" spans="2:8" ht="15.75">
      <c r="B6" s="342"/>
      <c r="C6" s="222" t="s">
        <v>253</v>
      </c>
      <c r="D6" s="223" t="s">
        <v>253</v>
      </c>
      <c r="E6" s="223" t="s">
        <v>254</v>
      </c>
      <c r="F6" s="223" t="s">
        <v>19</v>
      </c>
      <c r="G6" s="223" t="s">
        <v>19</v>
      </c>
      <c r="H6" s="223" t="s">
        <v>19</v>
      </c>
    </row>
    <row r="7" spans="2:8" ht="22.5" customHeight="1">
      <c r="B7" s="224" t="s">
        <v>269</v>
      </c>
      <c r="C7" s="114">
        <v>48592.19</v>
      </c>
      <c r="D7" s="114">
        <v>30980.52</v>
      </c>
      <c r="E7" s="114">
        <v>65000</v>
      </c>
      <c r="F7" s="225">
        <f>E7-Projeções!G35-Projeções!G42</f>
        <v>41000</v>
      </c>
      <c r="G7" s="225">
        <f>F7+Projeções!H21-Projeções!H35-Projeções!H42</f>
        <v>17000</v>
      </c>
      <c r="H7" s="225">
        <f>G7+Projeções!I21-Projeções!I35-Projeções!I42</f>
        <v>-7000</v>
      </c>
    </row>
    <row r="8" spans="2:8" ht="15">
      <c r="B8" s="47" t="s">
        <v>275</v>
      </c>
      <c r="C8" s="113">
        <v>2313566.29</v>
      </c>
      <c r="D8" s="113">
        <v>5726039.71</v>
      </c>
      <c r="E8" s="113">
        <v>5262798.52</v>
      </c>
      <c r="F8" s="218">
        <f>E8+Projeções!G28+Projeções!G43-Projeções!G44</f>
        <v>5602798.519999996</v>
      </c>
      <c r="G8" s="218">
        <f>F8+Projeções!H28+Projeções!H43-Projeções!H44</f>
        <v>5972798.519999996</v>
      </c>
      <c r="H8" s="218">
        <f>G8+Projeções!I28+Projeções!I43-Projeções!I44</f>
        <v>6372798.519999996</v>
      </c>
    </row>
    <row r="9" spans="2:8" ht="22.5" customHeight="1">
      <c r="B9" s="56" t="s">
        <v>128</v>
      </c>
      <c r="C9" s="218">
        <f aca="true" t="shared" si="0" ref="C9:H9">C7-C8</f>
        <v>-2264974.1</v>
      </c>
      <c r="D9" s="218">
        <f t="shared" si="0"/>
        <v>-5695059.19</v>
      </c>
      <c r="E9" s="218">
        <f t="shared" si="0"/>
        <v>-5197798.52</v>
      </c>
      <c r="F9" s="218">
        <f t="shared" si="0"/>
        <v>-5561798.519999996</v>
      </c>
      <c r="G9" s="218">
        <f t="shared" si="0"/>
        <v>-5955798.519999996</v>
      </c>
      <c r="H9" s="218">
        <f t="shared" si="0"/>
        <v>-6379798.519999996</v>
      </c>
    </row>
    <row r="10" spans="1:8" s="112" customFormat="1" ht="21.75" customHeight="1" thickBot="1">
      <c r="A10" s="226"/>
      <c r="B10" s="227" t="s">
        <v>49</v>
      </c>
      <c r="C10" s="219"/>
      <c r="D10" s="219">
        <f>D9-C9</f>
        <v>-3430085.0900000003</v>
      </c>
      <c r="E10" s="219">
        <f>E9-D9</f>
        <v>497260.67000000086</v>
      </c>
      <c r="F10" s="219">
        <f>F9-E9</f>
        <v>-363999.9999999963</v>
      </c>
      <c r="G10" s="219">
        <f>G9-F9</f>
        <v>-394000</v>
      </c>
      <c r="H10" s="219">
        <f>H9-G9</f>
        <v>-424000</v>
      </c>
    </row>
    <row r="11" spans="2:4" s="7" customFormat="1" ht="16.5" thickTop="1">
      <c r="B11" s="6"/>
      <c r="D11" s="228"/>
    </row>
    <row r="12" spans="2:8" ht="16.5" thickBot="1">
      <c r="B12" s="148" t="s">
        <v>50</v>
      </c>
      <c r="C12" s="4"/>
      <c r="D12" s="229"/>
      <c r="E12" s="10"/>
      <c r="F12" s="10"/>
      <c r="G12" s="2"/>
      <c r="H12" s="230" t="s">
        <v>11</v>
      </c>
    </row>
    <row r="13" spans="2:8" ht="16.5" thickTop="1">
      <c r="B13" s="341" t="s">
        <v>317</v>
      </c>
      <c r="C13" s="221">
        <f aca="true" t="shared" si="1" ref="C13:H13">C5</f>
        <v>2016</v>
      </c>
      <c r="D13" s="221">
        <f t="shared" si="1"/>
        <v>2017</v>
      </c>
      <c r="E13" s="221">
        <f t="shared" si="1"/>
        <v>2018</v>
      </c>
      <c r="F13" s="221">
        <f t="shared" si="1"/>
        <v>2019</v>
      </c>
      <c r="G13" s="221">
        <f t="shared" si="1"/>
        <v>2020</v>
      </c>
      <c r="H13" s="221">
        <f t="shared" si="1"/>
        <v>2021</v>
      </c>
    </row>
    <row r="14" spans="2:8" ht="15.75">
      <c r="B14" s="342"/>
      <c r="C14" s="222" t="s">
        <v>18</v>
      </c>
      <c r="D14" s="223" t="s">
        <v>18</v>
      </c>
      <c r="E14" s="223" t="s">
        <v>254</v>
      </c>
      <c r="F14" s="223" t="s">
        <v>19</v>
      </c>
      <c r="G14" s="223" t="s">
        <v>19</v>
      </c>
      <c r="H14" s="231" t="s">
        <v>19</v>
      </c>
    </row>
    <row r="15" spans="2:8" ht="15.75">
      <c r="B15" s="232" t="s">
        <v>53</v>
      </c>
      <c r="C15" s="233">
        <f>Plano!D15</f>
        <v>0</v>
      </c>
      <c r="D15" s="233">
        <f>Plano!E15</f>
        <v>0</v>
      </c>
      <c r="E15" s="233">
        <f>Plano!F15</f>
        <v>0</v>
      </c>
      <c r="F15" s="234">
        <v>0</v>
      </c>
      <c r="G15" s="234">
        <v>0</v>
      </c>
      <c r="H15" s="234">
        <v>0</v>
      </c>
    </row>
    <row r="16" spans="2:8" ht="15.75">
      <c r="B16" s="56" t="s">
        <v>51</v>
      </c>
      <c r="C16" s="235">
        <f>Plano!D28</f>
        <v>20610.19</v>
      </c>
      <c r="D16" s="235">
        <f>Plano!E28</f>
        <v>1327.3</v>
      </c>
      <c r="E16" s="235">
        <f>Plano!F28</f>
        <v>20000</v>
      </c>
      <c r="F16" s="235">
        <f>Projeções!G35</f>
        <v>4000</v>
      </c>
      <c r="G16" s="235">
        <f>Projeções!H35</f>
        <v>4000</v>
      </c>
      <c r="H16" s="235">
        <f>Projeções!I35</f>
        <v>4000</v>
      </c>
    </row>
    <row r="17" spans="2:8" ht="15.75">
      <c r="B17" s="56" t="s">
        <v>52</v>
      </c>
      <c r="C17" s="235">
        <f>Plano!D35</f>
        <v>309439.98</v>
      </c>
      <c r="D17" s="235">
        <f>Plano!E35</f>
        <v>17611.67</v>
      </c>
      <c r="E17" s="235">
        <f>Plano!F35</f>
        <v>65000</v>
      </c>
      <c r="F17" s="235">
        <f>Projeções!G42</f>
        <v>20000</v>
      </c>
      <c r="G17" s="235">
        <f>Projeções!H42</f>
        <v>20000</v>
      </c>
      <c r="H17" s="235">
        <f>Projeções!I42</f>
        <v>20000</v>
      </c>
    </row>
    <row r="18" spans="2:8" ht="15.75" customHeight="1" hidden="1">
      <c r="B18" s="47" t="s">
        <v>43</v>
      </c>
      <c r="C18" s="8"/>
      <c r="D18" s="236"/>
      <c r="E18" s="8"/>
      <c r="F18" s="8"/>
      <c r="G18" s="8"/>
      <c r="H18" s="9"/>
    </row>
    <row r="19" spans="2:8" ht="15.75" thickBot="1">
      <c r="B19" s="57"/>
      <c r="C19" s="11"/>
      <c r="D19" s="237"/>
      <c r="E19" s="12"/>
      <c r="F19" s="12"/>
      <c r="G19" s="12"/>
      <c r="H19" s="13"/>
    </row>
    <row r="20" spans="2:4" ht="16.5" thickTop="1">
      <c r="B20" s="148"/>
      <c r="D20" s="220"/>
    </row>
    <row r="21" spans="2:4" ht="15.75">
      <c r="B21" s="148" t="s">
        <v>273</v>
      </c>
      <c r="D21" s="220"/>
    </row>
    <row r="22" spans="2:4" ht="15.75">
      <c r="B22" s="148" t="s">
        <v>271</v>
      </c>
      <c r="D22" s="220"/>
    </row>
    <row r="23" spans="2:4" ht="15.75">
      <c r="B23" s="148" t="s">
        <v>272</v>
      </c>
      <c r="D23" s="220"/>
    </row>
    <row r="24" spans="2:4" ht="15.75">
      <c r="B24" s="148" t="s">
        <v>347</v>
      </c>
      <c r="D24" s="220"/>
    </row>
    <row r="25" spans="2:4" ht="15.75">
      <c r="B25" s="148" t="s">
        <v>319</v>
      </c>
      <c r="D25" s="220"/>
    </row>
    <row r="26" spans="2:5" ht="15.75">
      <c r="B26" s="312"/>
      <c r="C26" s="313"/>
      <c r="D26" s="314"/>
      <c r="E26" s="314"/>
    </row>
    <row r="27" ht="15.75">
      <c r="B27" s="30"/>
    </row>
    <row r="28" ht="15.75">
      <c r="B28" s="30"/>
    </row>
    <row r="29" ht="15.75">
      <c r="B29" s="30"/>
    </row>
    <row r="30" ht="15.75">
      <c r="B30" s="30"/>
    </row>
    <row r="31" ht="15.75">
      <c r="B31" s="30"/>
    </row>
    <row r="32" ht="15.75">
      <c r="B32" s="30"/>
    </row>
    <row r="33" ht="15.75">
      <c r="B33" s="30"/>
    </row>
    <row r="34" ht="15.75">
      <c r="B34" s="30"/>
    </row>
    <row r="35" ht="15.75">
      <c r="B35" s="30"/>
    </row>
    <row r="36" ht="15.75">
      <c r="B36" s="30"/>
    </row>
    <row r="37" ht="15.75">
      <c r="B37" s="30"/>
    </row>
    <row r="38" ht="15.75">
      <c r="B38" s="30"/>
    </row>
    <row r="39" ht="15.75">
      <c r="B39" s="30"/>
    </row>
  </sheetData>
  <sheetProtection/>
  <mergeCells count="2">
    <mergeCell ref="B5:B6"/>
    <mergeCell ref="B13:B14"/>
  </mergeCells>
  <hyperlinks>
    <hyperlink ref="B1" location="DADOS!A1" display="VOLTAR"/>
  </hyperlinks>
  <printOptions/>
  <pageMargins left="0.787401575" right="0.787401575" top="0.984251969" bottom="0.984251969" header="0.492125985" footer="0.492125985"/>
  <pageSetup horizontalDpi="600" verticalDpi="6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J88"/>
  <sheetViews>
    <sheetView zoomScale="75" zoomScaleNormal="75" zoomScaleSheetLayoutView="100" zoomScalePageLayoutView="0" workbookViewId="0" topLeftCell="A5">
      <selection activeCell="B36" sqref="B36"/>
    </sheetView>
  </sheetViews>
  <sheetFormatPr defaultColWidth="19.140625" defaultRowHeight="12.75"/>
  <cols>
    <col min="1" max="1" width="18.28125" style="22" customWidth="1"/>
    <col min="2" max="2" width="53.57421875" style="22" customWidth="1"/>
    <col min="3" max="3" width="22.57421875" style="22" customWidth="1"/>
    <col min="4" max="4" width="23.140625" style="22" customWidth="1"/>
    <col min="5" max="5" width="23.8515625" style="22" customWidth="1"/>
    <col min="6" max="6" width="20.57421875" style="22" customWidth="1"/>
    <col min="7" max="7" width="23.7109375" style="22" customWidth="1"/>
    <col min="8" max="8" width="22.00390625" style="22" customWidth="1"/>
    <col min="9" max="9" width="24.140625" style="22" customWidth="1"/>
    <col min="10" max="10" width="19.140625" style="22" hidden="1" customWidth="1"/>
    <col min="11" max="16384" width="19.140625" style="22" customWidth="1"/>
  </cols>
  <sheetData>
    <row r="1" spans="1:5" s="5" customFormat="1" ht="17.25" customHeight="1">
      <c r="A1" s="14"/>
      <c r="B1" s="15"/>
      <c r="C1" s="16"/>
      <c r="D1" s="16"/>
      <c r="E1" s="16"/>
    </row>
    <row r="2" spans="1:10" s="5" customFormat="1" ht="30" customHeight="1">
      <c r="A2" s="170" t="s">
        <v>46</v>
      </c>
      <c r="B2" s="170"/>
      <c r="C2" s="171"/>
      <c r="D2" s="171"/>
      <c r="E2" s="171"/>
      <c r="F2" s="172"/>
      <c r="G2" s="172"/>
      <c r="H2" s="172"/>
      <c r="I2" s="172"/>
      <c r="J2" s="17"/>
    </row>
    <row r="3" spans="1:10" s="5" customFormat="1" ht="19.5" customHeight="1">
      <c r="A3" s="173"/>
      <c r="B3" s="174"/>
      <c r="C3" s="174"/>
      <c r="D3" s="174"/>
      <c r="E3" s="174"/>
      <c r="F3" s="174"/>
      <c r="G3" s="174"/>
      <c r="H3" s="174"/>
      <c r="I3" s="174"/>
      <c r="J3" s="19"/>
    </row>
    <row r="4" spans="1:10" s="5" customFormat="1" ht="15.75" hidden="1">
      <c r="A4" s="175"/>
      <c r="B4" s="176"/>
      <c r="C4" s="176"/>
      <c r="D4" s="176"/>
      <c r="E4" s="176"/>
      <c r="F4" s="176"/>
      <c r="G4" s="176"/>
      <c r="H4" s="176"/>
      <c r="I4" s="176"/>
      <c r="J4" s="18"/>
    </row>
    <row r="5" spans="1:10" s="5" customFormat="1" ht="16.5" thickBot="1">
      <c r="A5" s="177"/>
      <c r="B5" s="178"/>
      <c r="C5" s="178"/>
      <c r="D5" s="178"/>
      <c r="E5" s="178"/>
      <c r="F5" s="178"/>
      <c r="G5" s="178"/>
      <c r="H5" s="178"/>
      <c r="I5" s="179" t="s">
        <v>103</v>
      </c>
      <c r="J5" s="31"/>
    </row>
    <row r="6" spans="1:10" s="5" customFormat="1" ht="16.5" thickTop="1">
      <c r="A6" s="207" t="s">
        <v>0</v>
      </c>
      <c r="B6" s="208" t="s">
        <v>1</v>
      </c>
      <c r="C6" s="205" t="s">
        <v>15</v>
      </c>
      <c r="D6" s="180" t="s">
        <v>15</v>
      </c>
      <c r="E6" s="180" t="s">
        <v>15</v>
      </c>
      <c r="F6" s="180" t="s">
        <v>255</v>
      </c>
      <c r="G6" s="180" t="s">
        <v>20</v>
      </c>
      <c r="H6" s="181" t="s">
        <v>20</v>
      </c>
      <c r="I6" s="182" t="s">
        <v>20</v>
      </c>
      <c r="J6" s="34" t="s">
        <v>20</v>
      </c>
    </row>
    <row r="7" spans="1:10" s="5" customFormat="1" ht="27.75" customHeight="1">
      <c r="A7" s="209"/>
      <c r="B7" s="210" t="s">
        <v>14</v>
      </c>
      <c r="C7" s="198">
        <f>Plano!C1</f>
        <v>2015</v>
      </c>
      <c r="D7" s="183">
        <f>Plano!D1</f>
        <v>2016</v>
      </c>
      <c r="E7" s="183">
        <f>Plano!E1</f>
        <v>2017</v>
      </c>
      <c r="F7" s="183">
        <f>Plano!F1</f>
        <v>2018</v>
      </c>
      <c r="G7" s="183">
        <f>F7+1</f>
        <v>2019</v>
      </c>
      <c r="H7" s="184">
        <f>G7+1</f>
        <v>2020</v>
      </c>
      <c r="I7" s="185">
        <f>H7+1</f>
        <v>2021</v>
      </c>
      <c r="J7" s="35">
        <v>2005</v>
      </c>
    </row>
    <row r="8" spans="1:10" s="20" customFormat="1" ht="17.25" customHeight="1">
      <c r="A8" s="211"/>
      <c r="B8" s="212"/>
      <c r="C8" s="206"/>
      <c r="D8" s="186"/>
      <c r="E8" s="186"/>
      <c r="F8" s="186"/>
      <c r="G8" s="186"/>
      <c r="H8" s="187"/>
      <c r="I8" s="188"/>
      <c r="J8" s="36"/>
    </row>
    <row r="9" spans="1:9" s="41" customFormat="1" ht="12.75">
      <c r="A9" s="155" t="s">
        <v>57</v>
      </c>
      <c r="B9" s="156" t="s">
        <v>2</v>
      </c>
      <c r="C9" s="217">
        <f>Plano!C3</f>
        <v>30624705.759999998</v>
      </c>
      <c r="D9" s="217">
        <f>Plano!D3</f>
        <v>31048795.56</v>
      </c>
      <c r="E9" s="217">
        <f>Plano!E3</f>
        <v>33128298.61</v>
      </c>
      <c r="F9" s="217">
        <f>Plano!F3</f>
        <v>37137600</v>
      </c>
      <c r="G9" s="217">
        <f>G10+G11+G12+G15+G16+G17+G18+G19</f>
        <v>42019263.5</v>
      </c>
      <c r="H9" s="217">
        <f>H10+H11+H12+H15+H16+H17+H18+H19</f>
        <v>45451996</v>
      </c>
      <c r="I9" s="217">
        <f>I10+I11+I12+I15+I16+I17+I18+I19</f>
        <v>50049614.5</v>
      </c>
    </row>
    <row r="10" spans="1:9" s="41" customFormat="1" ht="12.75">
      <c r="A10" s="155" t="s">
        <v>58</v>
      </c>
      <c r="B10" s="156" t="s">
        <v>59</v>
      </c>
      <c r="C10" s="261">
        <f>Plano!C4</f>
        <v>2391392.73</v>
      </c>
      <c r="D10" s="261">
        <f>Plano!D4</f>
        <v>2625233.82</v>
      </c>
      <c r="E10" s="261">
        <f>Plano!E4</f>
        <v>2792439.49</v>
      </c>
      <c r="F10" s="261">
        <f>Plano!F4</f>
        <v>2532807</v>
      </c>
      <c r="G10" s="261">
        <v>3870400</v>
      </c>
      <c r="H10" s="261">
        <v>3943100</v>
      </c>
      <c r="I10" s="261">
        <v>4272900</v>
      </c>
    </row>
    <row r="11" spans="1:9" s="41" customFormat="1" ht="12" customHeight="1">
      <c r="A11" s="155" t="s">
        <v>60</v>
      </c>
      <c r="B11" s="156" t="s">
        <v>61</v>
      </c>
      <c r="C11" s="261">
        <f>Plano!C5</f>
        <v>183301.11</v>
      </c>
      <c r="D11" s="261">
        <f>Plano!D5</f>
        <v>198837.73</v>
      </c>
      <c r="E11" s="261">
        <f>Plano!E5</f>
        <v>198038.68</v>
      </c>
      <c r="F11" s="261">
        <f>Plano!F5</f>
        <v>180000</v>
      </c>
      <c r="G11" s="261">
        <v>255200</v>
      </c>
      <c r="H11" s="261">
        <v>281300</v>
      </c>
      <c r="I11" s="261">
        <v>307300</v>
      </c>
    </row>
    <row r="12" spans="1:9" s="41" customFormat="1" ht="12.75">
      <c r="A12" s="155" t="s">
        <v>62</v>
      </c>
      <c r="B12" s="156" t="s">
        <v>3</v>
      </c>
      <c r="C12" s="217">
        <f>Plano!C6</f>
        <v>422635.71</v>
      </c>
      <c r="D12" s="217">
        <f>Plano!D6</f>
        <v>332240.42</v>
      </c>
      <c r="E12" s="217">
        <f>Plano!E6</f>
        <v>252585.17</v>
      </c>
      <c r="F12" s="217">
        <f>Plano!F6</f>
        <v>372950</v>
      </c>
      <c r="G12" s="217">
        <f>G13+G14</f>
        <v>210500</v>
      </c>
      <c r="H12" s="217">
        <f>H13+H14</f>
        <v>231550</v>
      </c>
      <c r="I12" s="217">
        <f>I13+I14</f>
        <v>248850</v>
      </c>
    </row>
    <row r="13" spans="1:9" ht="12.75">
      <c r="A13" s="213" t="s">
        <v>63</v>
      </c>
      <c r="B13" s="214" t="s">
        <v>245</v>
      </c>
      <c r="C13" s="261">
        <f>Plano!C7</f>
        <v>413425.78</v>
      </c>
      <c r="D13" s="261">
        <f>Plano!D7</f>
        <v>316329.6</v>
      </c>
      <c r="E13" s="261">
        <f>Plano!E7</f>
        <v>239672.66</v>
      </c>
      <c r="F13" s="261">
        <f>Plano!F7</f>
        <v>283950</v>
      </c>
      <c r="G13" s="261">
        <v>188000</v>
      </c>
      <c r="H13" s="261">
        <v>204050</v>
      </c>
      <c r="I13" s="261">
        <v>216350</v>
      </c>
    </row>
    <row r="14" spans="1:9" ht="12.75">
      <c r="A14" s="213" t="s">
        <v>64</v>
      </c>
      <c r="B14" s="214" t="s">
        <v>65</v>
      </c>
      <c r="C14" s="261">
        <f>Plano!C8</f>
        <v>9209.93</v>
      </c>
      <c r="D14" s="261">
        <f>Plano!D8</f>
        <v>15910.82</v>
      </c>
      <c r="E14" s="261">
        <f>Plano!E8</f>
        <v>12912.51</v>
      </c>
      <c r="F14" s="261">
        <f>Plano!F8</f>
        <v>89000</v>
      </c>
      <c r="G14" s="261">
        <v>22500</v>
      </c>
      <c r="H14" s="261">
        <v>27500</v>
      </c>
      <c r="I14" s="261">
        <v>32500</v>
      </c>
    </row>
    <row r="15" spans="1:9" ht="12.75">
      <c r="A15" s="155" t="s">
        <v>66</v>
      </c>
      <c r="B15" s="156" t="s">
        <v>67</v>
      </c>
      <c r="C15" s="261">
        <f>Plano!C9</f>
        <v>0</v>
      </c>
      <c r="D15" s="261">
        <f>Plano!D9</f>
        <v>0</v>
      </c>
      <c r="E15" s="261">
        <f>Plano!E9</f>
        <v>0</v>
      </c>
      <c r="F15" s="261">
        <f>Plano!F9</f>
        <v>20000</v>
      </c>
      <c r="G15" s="261">
        <v>0</v>
      </c>
      <c r="H15" s="261">
        <v>0</v>
      </c>
      <c r="I15" s="261">
        <v>0</v>
      </c>
    </row>
    <row r="16" spans="1:9" ht="12.75">
      <c r="A16" s="155" t="s">
        <v>68</v>
      </c>
      <c r="B16" s="156" t="s">
        <v>4</v>
      </c>
      <c r="C16" s="261">
        <f>Plano!C10</f>
        <v>0</v>
      </c>
      <c r="D16" s="261">
        <f>Plano!D10</f>
        <v>0</v>
      </c>
      <c r="E16" s="261">
        <f>Plano!E10</f>
        <v>0</v>
      </c>
      <c r="F16" s="261">
        <f>Plano!F10</f>
        <v>0</v>
      </c>
      <c r="G16" s="261">
        <v>0</v>
      </c>
      <c r="H16" s="261">
        <v>0</v>
      </c>
      <c r="I16" s="261">
        <v>0</v>
      </c>
    </row>
    <row r="17" spans="1:9" ht="12.75">
      <c r="A17" s="155" t="s">
        <v>69</v>
      </c>
      <c r="B17" s="156" t="s">
        <v>70</v>
      </c>
      <c r="C17" s="261">
        <f>Plano!C11</f>
        <v>5260.54</v>
      </c>
      <c r="D17" s="261">
        <f>Plano!D11</f>
        <v>10007.64</v>
      </c>
      <c r="E17" s="261">
        <f>Plano!E11</f>
        <v>3079.8</v>
      </c>
      <c r="F17" s="261">
        <f>Plano!F11</f>
        <v>224500</v>
      </c>
      <c r="G17" s="261">
        <v>40000</v>
      </c>
      <c r="H17" s="261">
        <v>40000</v>
      </c>
      <c r="I17" s="261">
        <v>40000</v>
      </c>
    </row>
    <row r="18" spans="1:9" s="41" customFormat="1" ht="12.75">
      <c r="A18" s="155" t="s">
        <v>71</v>
      </c>
      <c r="B18" s="156" t="s">
        <v>72</v>
      </c>
      <c r="C18" s="261">
        <f>Plano!C12</f>
        <v>27281196.18</v>
      </c>
      <c r="D18" s="261">
        <f>Plano!D12</f>
        <v>27543385.63</v>
      </c>
      <c r="E18" s="261">
        <f>Plano!E12</f>
        <v>29687493.15</v>
      </c>
      <c r="F18" s="261">
        <f>Plano!F12</f>
        <v>33314950</v>
      </c>
      <c r="G18" s="261">
        <v>37437463.5</v>
      </c>
      <c r="H18" s="261">
        <v>40750746</v>
      </c>
      <c r="I18" s="261">
        <v>44975064.5</v>
      </c>
    </row>
    <row r="19" spans="1:9" s="41" customFormat="1" ht="12.75">
      <c r="A19" s="155" t="s">
        <v>73</v>
      </c>
      <c r="B19" s="156" t="s">
        <v>5</v>
      </c>
      <c r="C19" s="261">
        <f>Plano!C13</f>
        <v>340919.49</v>
      </c>
      <c r="D19" s="261">
        <f>Plano!D13</f>
        <v>339090.32</v>
      </c>
      <c r="E19" s="261">
        <f>Plano!E13</f>
        <v>194662.32</v>
      </c>
      <c r="F19" s="261">
        <f>Plano!F13</f>
        <v>492393</v>
      </c>
      <c r="G19" s="261">
        <v>205700</v>
      </c>
      <c r="H19" s="261">
        <v>205300</v>
      </c>
      <c r="I19" s="261">
        <v>205500</v>
      </c>
    </row>
    <row r="20" spans="1:9" s="41" customFormat="1" ht="12.75">
      <c r="A20" s="155" t="s">
        <v>74</v>
      </c>
      <c r="B20" s="156" t="s">
        <v>75</v>
      </c>
      <c r="C20" s="217">
        <f>Plano!C14</f>
        <v>3889235.05</v>
      </c>
      <c r="D20" s="217">
        <f>Plano!D14</f>
        <v>2391857.5700000003</v>
      </c>
      <c r="E20" s="217">
        <f>Plano!E14</f>
        <v>1927227.4600000002</v>
      </c>
      <c r="F20" s="217">
        <f>Plano!F14</f>
        <v>145249.5</v>
      </c>
      <c r="G20" s="217">
        <f>G21+G22+G23+G24+G25</f>
        <v>146736.5</v>
      </c>
      <c r="H20" s="217">
        <f>H21+H22+H23+H24+H25</f>
        <v>144204</v>
      </c>
      <c r="I20" s="217">
        <f>I21+I22+I23+I24+I25</f>
        <v>154985.5</v>
      </c>
    </row>
    <row r="21" spans="1:9" s="41" customFormat="1" ht="12.75">
      <c r="A21" s="155" t="s">
        <v>76</v>
      </c>
      <c r="B21" s="156" t="s">
        <v>77</v>
      </c>
      <c r="C21" s="261">
        <f>Plano!C15</f>
        <v>0</v>
      </c>
      <c r="D21" s="261">
        <f>Plano!D15</f>
        <v>0</v>
      </c>
      <c r="E21" s="261">
        <f>Plano!E15</f>
        <v>0</v>
      </c>
      <c r="F21" s="261">
        <f>Plano!F15</f>
        <v>0</v>
      </c>
      <c r="G21" s="261">
        <v>0</v>
      </c>
      <c r="H21" s="261">
        <v>0</v>
      </c>
      <c r="I21" s="261">
        <v>0</v>
      </c>
    </row>
    <row r="22" spans="1:9" s="41" customFormat="1" ht="12.75">
      <c r="A22" s="155" t="s">
        <v>78</v>
      </c>
      <c r="B22" s="156" t="s">
        <v>79</v>
      </c>
      <c r="C22" s="261">
        <f>Plano!C16</f>
        <v>145463</v>
      </c>
      <c r="D22" s="261">
        <f>Plano!D16</f>
        <v>125300</v>
      </c>
      <c r="E22" s="261">
        <f>Plano!E16</f>
        <v>0</v>
      </c>
      <c r="F22" s="261">
        <f>Plano!F16</f>
        <v>0</v>
      </c>
      <c r="G22" s="261">
        <v>0</v>
      </c>
      <c r="H22" s="261">
        <v>0</v>
      </c>
      <c r="I22" s="261">
        <v>0</v>
      </c>
    </row>
    <row r="23" spans="1:9" ht="12.75">
      <c r="A23" s="155" t="s">
        <v>80</v>
      </c>
      <c r="B23" s="156" t="s">
        <v>81</v>
      </c>
      <c r="C23" s="261">
        <f>Plano!C17</f>
        <v>84617.59</v>
      </c>
      <c r="D23" s="261">
        <f>Plano!D17</f>
        <v>119448.58</v>
      </c>
      <c r="E23" s="261">
        <f>Plano!E17</f>
        <v>80150.85</v>
      </c>
      <c r="F23" s="261">
        <f>Plano!F17</f>
        <v>145249.5</v>
      </c>
      <c r="G23" s="261">
        <v>146736.5</v>
      </c>
      <c r="H23" s="261">
        <v>144204</v>
      </c>
      <c r="I23" s="261">
        <v>154985.5</v>
      </c>
    </row>
    <row r="24" spans="1:9" s="41" customFormat="1" ht="12.75">
      <c r="A24" s="155" t="s">
        <v>82</v>
      </c>
      <c r="B24" s="156" t="s">
        <v>83</v>
      </c>
      <c r="C24" s="261">
        <f>Plano!C18</f>
        <v>3659154.46</v>
      </c>
      <c r="D24" s="261">
        <f>Plano!D18</f>
        <v>2147108.99</v>
      </c>
      <c r="E24" s="261">
        <f>Plano!E18</f>
        <v>1847076.61</v>
      </c>
      <c r="F24" s="261">
        <f>Plano!F18</f>
        <v>0</v>
      </c>
      <c r="G24" s="261">
        <v>0</v>
      </c>
      <c r="H24" s="261">
        <v>0</v>
      </c>
      <c r="I24" s="261">
        <v>0</v>
      </c>
    </row>
    <row r="25" spans="1:9" ht="12.75">
      <c r="A25" s="155" t="s">
        <v>84</v>
      </c>
      <c r="B25" s="156" t="s">
        <v>6</v>
      </c>
      <c r="C25" s="261">
        <f>Plano!C19</f>
        <v>0</v>
      </c>
      <c r="D25" s="261">
        <f>Plano!D19</f>
        <v>0</v>
      </c>
      <c r="E25" s="261">
        <f>Plano!E19</f>
        <v>0</v>
      </c>
      <c r="F25" s="261">
        <f>Plano!F19</f>
        <v>0</v>
      </c>
      <c r="G25" s="261">
        <v>0</v>
      </c>
      <c r="H25" s="261">
        <v>0</v>
      </c>
      <c r="I25" s="261">
        <v>0</v>
      </c>
    </row>
    <row r="26" spans="1:9" ht="12.75">
      <c r="A26" s="155" t="s">
        <v>246</v>
      </c>
      <c r="B26" s="156" t="s">
        <v>247</v>
      </c>
      <c r="C26" s="261">
        <f>Plano!C20</f>
        <v>-3537182.71</v>
      </c>
      <c r="D26" s="261">
        <f>Plano!D20</f>
        <v>-3436752.75</v>
      </c>
      <c r="E26" s="261">
        <f>Plano!E20</f>
        <v>-3730457.18</v>
      </c>
      <c r="F26" s="261">
        <f>Plano!F20</f>
        <v>-4557600</v>
      </c>
      <c r="G26" s="261">
        <v>-5166000</v>
      </c>
      <c r="H26" s="261">
        <v>-5596200</v>
      </c>
      <c r="I26" s="261">
        <v>-6204600</v>
      </c>
    </row>
    <row r="27" spans="1:9" ht="12.75">
      <c r="A27" s="213"/>
      <c r="B27" s="214"/>
      <c r="C27" s="261"/>
      <c r="D27" s="261"/>
      <c r="E27" s="261"/>
      <c r="F27" s="261"/>
      <c r="G27" s="261"/>
      <c r="H27" s="261"/>
      <c r="I27" s="261"/>
    </row>
    <row r="28" spans="1:9" s="42" customFormat="1" ht="25.5" customHeight="1">
      <c r="A28" s="215"/>
      <c r="B28" s="216" t="s">
        <v>85</v>
      </c>
      <c r="C28" s="217">
        <f>Plano!C22</f>
        <v>30976758.099999994</v>
      </c>
      <c r="D28" s="217">
        <f>Plano!D22</f>
        <v>30003900.38</v>
      </c>
      <c r="E28" s="217">
        <f>Plano!E22</f>
        <v>31325068.89</v>
      </c>
      <c r="F28" s="217">
        <f>Plano!F22</f>
        <v>32725249.5</v>
      </c>
      <c r="G28" s="217">
        <f>G9+G20+G26</f>
        <v>37000000</v>
      </c>
      <c r="H28" s="217">
        <f>H9+H20+H26</f>
        <v>40000000</v>
      </c>
      <c r="I28" s="217">
        <f>I9+I20+I26</f>
        <v>44000000</v>
      </c>
    </row>
    <row r="29" spans="1:9" ht="12.75">
      <c r="A29" s="189"/>
      <c r="B29" s="189"/>
      <c r="C29" s="190"/>
      <c r="D29" s="190"/>
      <c r="E29" s="190"/>
      <c r="F29" s="190"/>
      <c r="G29" s="190"/>
      <c r="H29" s="190"/>
      <c r="I29" s="190"/>
    </row>
    <row r="30" spans="1:9" ht="13.5" thickBot="1">
      <c r="A30" s="189"/>
      <c r="B30" s="189"/>
      <c r="C30" s="190"/>
      <c r="D30" s="190"/>
      <c r="E30" s="190"/>
      <c r="F30" s="190"/>
      <c r="G30" s="190"/>
      <c r="H30" s="190"/>
      <c r="I30" s="190"/>
    </row>
    <row r="31" spans="1:10" s="5" customFormat="1" ht="16.5" thickTop="1">
      <c r="A31" s="207" t="s">
        <v>0</v>
      </c>
      <c r="B31" s="208" t="s">
        <v>1</v>
      </c>
      <c r="C31" s="205" t="s">
        <v>256</v>
      </c>
      <c r="D31" s="180" t="s">
        <v>256</v>
      </c>
      <c r="E31" s="180" t="s">
        <v>256</v>
      </c>
      <c r="F31" s="180" t="s">
        <v>255</v>
      </c>
      <c r="G31" s="180" t="s">
        <v>20</v>
      </c>
      <c r="H31" s="181" t="s">
        <v>20</v>
      </c>
      <c r="I31" s="182" t="s">
        <v>20</v>
      </c>
      <c r="J31" s="34" t="s">
        <v>20</v>
      </c>
    </row>
    <row r="32" spans="1:10" s="5" customFormat="1" ht="27.75" customHeight="1">
      <c r="A32" s="209"/>
      <c r="B32" s="210" t="s">
        <v>14</v>
      </c>
      <c r="C32" s="198">
        <f>C7</f>
        <v>2015</v>
      </c>
      <c r="D32" s="198">
        <f aca="true" t="shared" si="0" ref="D32:I32">D7</f>
        <v>2016</v>
      </c>
      <c r="E32" s="198">
        <f t="shared" si="0"/>
        <v>2017</v>
      </c>
      <c r="F32" s="198">
        <f t="shared" si="0"/>
        <v>2018</v>
      </c>
      <c r="G32" s="198">
        <f t="shared" si="0"/>
        <v>2019</v>
      </c>
      <c r="H32" s="198">
        <f t="shared" si="0"/>
        <v>2020</v>
      </c>
      <c r="I32" s="198">
        <f t="shared" si="0"/>
        <v>2021</v>
      </c>
      <c r="J32" s="35">
        <v>2005</v>
      </c>
    </row>
    <row r="33" spans="1:9" s="41" customFormat="1" ht="12.75">
      <c r="A33" s="155" t="s">
        <v>86</v>
      </c>
      <c r="B33" s="156" t="s">
        <v>7</v>
      </c>
      <c r="C33" s="217">
        <f>Plano!C26</f>
        <v>26831720.060000002</v>
      </c>
      <c r="D33" s="217">
        <f>Plano!D26</f>
        <v>28347407.67</v>
      </c>
      <c r="E33" s="217">
        <f>Plano!E26</f>
        <v>26443685.270000003</v>
      </c>
      <c r="F33" s="217">
        <f>Plano!F26</f>
        <v>31227328</v>
      </c>
      <c r="G33" s="217">
        <f>G34+G35+G36</f>
        <v>34152530</v>
      </c>
      <c r="H33" s="217">
        <f>H34+H35+H36</f>
        <v>38162820</v>
      </c>
      <c r="I33" s="217">
        <f>I34+I35+I36</f>
        <v>42162910</v>
      </c>
    </row>
    <row r="34" spans="1:9" s="41" customFormat="1" ht="12.75">
      <c r="A34" s="155" t="s">
        <v>87</v>
      </c>
      <c r="B34" s="156" t="s">
        <v>88</v>
      </c>
      <c r="C34" s="262">
        <f>Plano!C27</f>
        <v>13900026.94</v>
      </c>
      <c r="D34" s="262">
        <f>Plano!D27</f>
        <v>14724430.84</v>
      </c>
      <c r="E34" s="262">
        <f>Plano!E27</f>
        <v>14044297.42</v>
      </c>
      <c r="F34" s="262">
        <f>Plano!F27</f>
        <v>15675063</v>
      </c>
      <c r="G34" s="261">
        <v>15921604</v>
      </c>
      <c r="H34" s="261">
        <v>18170313.5</v>
      </c>
      <c r="I34" s="261">
        <v>20238986</v>
      </c>
    </row>
    <row r="35" spans="1:9" ht="12.75">
      <c r="A35" s="155" t="s">
        <v>89</v>
      </c>
      <c r="B35" s="156" t="s">
        <v>257</v>
      </c>
      <c r="C35" s="262">
        <f>Plano!C28</f>
        <v>46955.32</v>
      </c>
      <c r="D35" s="262">
        <f>Plano!D28</f>
        <v>20610.19</v>
      </c>
      <c r="E35" s="262">
        <f>Plano!E28</f>
        <v>1327.3</v>
      </c>
      <c r="F35" s="262">
        <f>Plano!F28</f>
        <v>20000</v>
      </c>
      <c r="G35" s="261">
        <v>4000</v>
      </c>
      <c r="H35" s="261">
        <v>4000</v>
      </c>
      <c r="I35" s="261">
        <v>4000</v>
      </c>
    </row>
    <row r="36" spans="1:9" s="41" customFormat="1" ht="12.75">
      <c r="A36" s="155" t="s">
        <v>91</v>
      </c>
      <c r="B36" s="156" t="s">
        <v>92</v>
      </c>
      <c r="C36" s="262">
        <f>Plano!C29</f>
        <v>12884737.8</v>
      </c>
      <c r="D36" s="262">
        <f>Plano!D29</f>
        <v>13602366.64</v>
      </c>
      <c r="E36" s="262">
        <f>Plano!E29</f>
        <v>12398060.55</v>
      </c>
      <c r="F36" s="262">
        <f>Plano!F29</f>
        <v>15532265</v>
      </c>
      <c r="G36" s="261">
        <v>18226926</v>
      </c>
      <c r="H36" s="261">
        <v>19988506.5</v>
      </c>
      <c r="I36" s="261">
        <v>21919924</v>
      </c>
    </row>
    <row r="37" spans="1:9" s="41" customFormat="1" ht="12.75">
      <c r="A37" s="155" t="s">
        <v>93</v>
      </c>
      <c r="B37" s="156" t="s">
        <v>8</v>
      </c>
      <c r="C37" s="217">
        <f>Plano!C30</f>
        <v>5067271.45</v>
      </c>
      <c r="D37" s="217">
        <f>Plano!D30</f>
        <v>2918601.64</v>
      </c>
      <c r="E37" s="217">
        <f>Plano!E30</f>
        <v>2318444.64</v>
      </c>
      <c r="F37" s="217">
        <f>Plano!F30</f>
        <v>1137672</v>
      </c>
      <c r="G37" s="217">
        <f>G38+G39+G42</f>
        <v>2507470</v>
      </c>
      <c r="H37" s="217">
        <f>H38+H39+H42</f>
        <v>1467180</v>
      </c>
      <c r="I37" s="217">
        <f>I38+I39+I42</f>
        <v>1437090</v>
      </c>
    </row>
    <row r="38" spans="1:9" s="41" customFormat="1" ht="12.75">
      <c r="A38" s="155" t="s">
        <v>94</v>
      </c>
      <c r="B38" s="156" t="s">
        <v>9</v>
      </c>
      <c r="C38" s="262">
        <f>Plano!C31</f>
        <v>4744236.48</v>
      </c>
      <c r="D38" s="262">
        <f>Plano!D31</f>
        <v>2609161.66</v>
      </c>
      <c r="E38" s="262">
        <f>Plano!E31</f>
        <v>2300832.97</v>
      </c>
      <c r="F38" s="262">
        <f>Plano!F31</f>
        <v>1057672</v>
      </c>
      <c r="G38" s="261">
        <v>2437470</v>
      </c>
      <c r="H38" s="261">
        <v>1397180</v>
      </c>
      <c r="I38" s="261">
        <v>1367090</v>
      </c>
    </row>
    <row r="39" spans="1:9" s="41" customFormat="1" ht="12.75">
      <c r="A39" s="155" t="s">
        <v>95</v>
      </c>
      <c r="B39" s="156" t="s">
        <v>10</v>
      </c>
      <c r="C39" s="217">
        <f>Plano!C32</f>
        <v>0</v>
      </c>
      <c r="D39" s="217">
        <f>Plano!D32</f>
        <v>0</v>
      </c>
      <c r="E39" s="217">
        <f>Plano!E32</f>
        <v>0</v>
      </c>
      <c r="F39" s="217">
        <f>Plano!F32</f>
        <v>15000</v>
      </c>
      <c r="G39" s="217">
        <f>G40+G41</f>
        <v>50000</v>
      </c>
      <c r="H39" s="217">
        <f>H40+H41</f>
        <v>50000</v>
      </c>
      <c r="I39" s="217">
        <f>I40+I41</f>
        <v>50000</v>
      </c>
    </row>
    <row r="40" spans="1:9" ht="12.75">
      <c r="A40" s="213" t="s">
        <v>96</v>
      </c>
      <c r="B40" s="214" t="s">
        <v>97</v>
      </c>
      <c r="C40" s="262">
        <f>Plano!C33</f>
        <v>0</v>
      </c>
      <c r="D40" s="262">
        <f>Plano!D33</f>
        <v>0</v>
      </c>
      <c r="E40" s="262">
        <f>Plano!E33</f>
        <v>0</v>
      </c>
      <c r="F40" s="262">
        <f>Plano!F33</f>
        <v>0</v>
      </c>
      <c r="G40" s="261">
        <f>F40*(1+Parâmetros!E14)*(1+Parâmetros!E15)</f>
        <v>0</v>
      </c>
      <c r="H40" s="261">
        <f>G40*(1+Parâmetros!F14)*(1+Parâmetros!F15)</f>
        <v>0</v>
      </c>
      <c r="I40" s="261">
        <f>H40*(1+Parâmetros!G14)*(1+Parâmetros!G15)</f>
        <v>0</v>
      </c>
    </row>
    <row r="41" spans="1:9" ht="12.75">
      <c r="A41" s="213" t="s">
        <v>248</v>
      </c>
      <c r="B41" s="214" t="s">
        <v>292</v>
      </c>
      <c r="C41" s="262">
        <f>Plano!C34</f>
        <v>0</v>
      </c>
      <c r="D41" s="262">
        <f>Plano!D34</f>
        <v>0</v>
      </c>
      <c r="E41" s="262">
        <f>Plano!E34</f>
        <v>0</v>
      </c>
      <c r="F41" s="262">
        <f>Plano!F34</f>
        <v>15000</v>
      </c>
      <c r="G41" s="261">
        <v>50000</v>
      </c>
      <c r="H41" s="261">
        <v>50000</v>
      </c>
      <c r="I41" s="261">
        <v>50000</v>
      </c>
    </row>
    <row r="42" spans="1:9" s="41" customFormat="1" ht="12.75">
      <c r="A42" s="155" t="s">
        <v>98</v>
      </c>
      <c r="B42" s="156" t="s">
        <v>99</v>
      </c>
      <c r="C42" s="262">
        <f>Plano!C35</f>
        <v>323034.97</v>
      </c>
      <c r="D42" s="262">
        <f>Plano!D35</f>
        <v>309439.98</v>
      </c>
      <c r="E42" s="262">
        <f>Plano!E35</f>
        <v>17611.67</v>
      </c>
      <c r="F42" s="262">
        <f>Plano!F35</f>
        <v>65000</v>
      </c>
      <c r="G42" s="261">
        <v>20000</v>
      </c>
      <c r="H42" s="261">
        <v>20000</v>
      </c>
      <c r="I42" s="261">
        <v>20000</v>
      </c>
    </row>
    <row r="43" spans="1:9" ht="12.75">
      <c r="A43" s="155" t="s">
        <v>259</v>
      </c>
      <c r="B43" s="156" t="s">
        <v>260</v>
      </c>
      <c r="C43" s="262">
        <f>Plano!C37</f>
        <v>0</v>
      </c>
      <c r="D43" s="262">
        <f>Plano!D37</f>
        <v>0</v>
      </c>
      <c r="E43" s="262">
        <f>Plano!E37</f>
        <v>0</v>
      </c>
      <c r="F43" s="262">
        <f>Plano!F37</f>
        <v>340000</v>
      </c>
      <c r="G43" s="261">
        <v>340000</v>
      </c>
      <c r="H43" s="261">
        <v>370000</v>
      </c>
      <c r="I43" s="261">
        <v>400000</v>
      </c>
    </row>
    <row r="44" spans="1:9" s="42" customFormat="1" ht="29.25" customHeight="1" thickBot="1">
      <c r="A44" s="215"/>
      <c r="B44" s="216" t="s">
        <v>100</v>
      </c>
      <c r="C44" s="217">
        <f>Plano!C39</f>
        <v>31898991.51</v>
      </c>
      <c r="D44" s="217">
        <f>Plano!D39</f>
        <v>31266009.310000002</v>
      </c>
      <c r="E44" s="217">
        <f>Plano!E39</f>
        <v>28762129.910000004</v>
      </c>
      <c r="F44" s="217">
        <f>Plano!F39</f>
        <v>32705000</v>
      </c>
      <c r="G44" s="217">
        <f>G33+G37+G43</f>
        <v>37000000</v>
      </c>
      <c r="H44" s="217">
        <f>H33+H37+H43</f>
        <v>40000000</v>
      </c>
      <c r="I44" s="217">
        <f>I33+I37+I43</f>
        <v>44000000</v>
      </c>
    </row>
    <row r="45" spans="1:10" s="5" customFormat="1" ht="17.25" customHeight="1" hidden="1">
      <c r="A45" s="191">
        <v>50000002</v>
      </c>
      <c r="B45" s="192" t="s">
        <v>42</v>
      </c>
      <c r="C45" s="193"/>
      <c r="D45" s="194"/>
      <c r="E45" s="194"/>
      <c r="F45" s="194"/>
      <c r="G45" s="194"/>
      <c r="H45" s="194"/>
      <c r="I45" s="194"/>
      <c r="J45" s="24"/>
    </row>
    <row r="46" spans="1:10" s="5" customFormat="1" ht="17.25" customHeight="1" hidden="1">
      <c r="A46" s="195"/>
      <c r="B46" s="196" t="s">
        <v>13</v>
      </c>
      <c r="C46" s="197" t="s">
        <v>15</v>
      </c>
      <c r="D46" s="197" t="e">
        <f>IF(#REF!&gt;0,"REALIZADO","PROJETADO")</f>
        <v>#REF!</v>
      </c>
      <c r="E46" s="197" t="e">
        <f>IF(#REF!&gt;0,"REALIZADO","PROJETADO")</f>
        <v>#REF!</v>
      </c>
      <c r="F46" s="197" t="e">
        <f>IF(#REF!&gt;0,"REALIZADO","PROJETADO")</f>
        <v>#REF!</v>
      </c>
      <c r="G46" s="197" t="s">
        <v>20</v>
      </c>
      <c r="H46" s="197"/>
      <c r="I46" s="197" t="s">
        <v>20</v>
      </c>
      <c r="J46" s="25" t="s">
        <v>20</v>
      </c>
    </row>
    <row r="47" spans="1:10" s="5" customFormat="1" ht="17.25" customHeight="1" hidden="1">
      <c r="A47" s="195"/>
      <c r="B47" s="198" t="s">
        <v>12</v>
      </c>
      <c r="C47" s="183">
        <v>1999</v>
      </c>
      <c r="D47" s="183">
        <v>2000</v>
      </c>
      <c r="E47" s="183">
        <v>2001</v>
      </c>
      <c r="F47" s="183">
        <v>2002</v>
      </c>
      <c r="G47" s="183">
        <v>2003</v>
      </c>
      <c r="H47" s="183"/>
      <c r="I47" s="183">
        <v>2004</v>
      </c>
      <c r="J47" s="23">
        <v>2005</v>
      </c>
    </row>
    <row r="48" spans="1:10" s="5" customFormat="1" ht="17.25" customHeight="1" hidden="1">
      <c r="A48" s="195"/>
      <c r="B48" s="199"/>
      <c r="C48" s="200"/>
      <c r="D48" s="200"/>
      <c r="E48" s="200"/>
      <c r="F48" s="200"/>
      <c r="G48" s="200"/>
      <c r="H48" s="200"/>
      <c r="I48" s="200"/>
      <c r="J48" s="26"/>
    </row>
    <row r="49" spans="1:10" s="5" customFormat="1" ht="16.5" hidden="1" thickBot="1">
      <c r="A49" s="195"/>
      <c r="B49" s="199" t="s">
        <v>22</v>
      </c>
      <c r="C49" s="201" t="e">
        <f>C8-#REF!-C12+C53-#REF!</f>
        <v>#REF!</v>
      </c>
      <c r="D49" s="201" t="e">
        <f>D8-#REF!-D12+D53-#REF!</f>
        <v>#REF!</v>
      </c>
      <c r="E49" s="201" t="e">
        <f>E8-#REF!-E12+E53-#REF!</f>
        <v>#REF!</v>
      </c>
      <c r="F49" s="201" t="e">
        <f>F8-#REF!-F12+F53-#REF!</f>
        <v>#REF!</v>
      </c>
      <c r="G49" s="201" t="e">
        <f>G8-#REF!-G12+G53-#REF!</f>
        <v>#REF!</v>
      </c>
      <c r="H49" s="201"/>
      <c r="I49" s="201" t="e">
        <f>I8-#REF!-I12+I53-#REF!</f>
        <v>#REF!</v>
      </c>
      <c r="J49" s="32" t="e">
        <f>J8-#REF!-J12+J53</f>
        <v>#REF!</v>
      </c>
    </row>
    <row r="50" spans="1:10" s="5" customFormat="1" ht="16.5" hidden="1" thickBot="1">
      <c r="A50" s="195"/>
      <c r="B50" s="199" t="s">
        <v>23</v>
      </c>
      <c r="C50" s="201">
        <f>C9</f>
        <v>30624705.759999998</v>
      </c>
      <c r="D50" s="201">
        <f aca="true" t="shared" si="1" ref="D50:J50">D9</f>
        <v>31048795.56</v>
      </c>
      <c r="E50" s="201">
        <f t="shared" si="1"/>
        <v>33128298.61</v>
      </c>
      <c r="F50" s="201">
        <f t="shared" si="1"/>
        <v>37137600</v>
      </c>
      <c r="G50" s="201">
        <f t="shared" si="1"/>
        <v>42019263.5</v>
      </c>
      <c r="H50" s="201"/>
      <c r="I50" s="201">
        <f t="shared" si="1"/>
        <v>50049614.5</v>
      </c>
      <c r="J50" s="32">
        <f t="shared" si="1"/>
        <v>0</v>
      </c>
    </row>
    <row r="51" spans="1:10" s="5" customFormat="1" ht="16.5" hidden="1" thickBot="1">
      <c r="A51" s="195"/>
      <c r="B51" s="199" t="s">
        <v>24</v>
      </c>
      <c r="C51" s="201" t="e">
        <f>C15+C16+C18+#REF!+#REF!+#REF!+#REF!</f>
        <v>#REF!</v>
      </c>
      <c r="D51" s="201" t="e">
        <f>D15+D16+D18+#REF!+#REF!+#REF!+#REF!</f>
        <v>#REF!</v>
      </c>
      <c r="E51" s="201" t="e">
        <f>E15+E16+E18+#REF!+#REF!+#REF!+#REF!</f>
        <v>#REF!</v>
      </c>
      <c r="F51" s="201" t="e">
        <f>F15+F16+F18+#REF!+#REF!+#REF!+#REF!</f>
        <v>#REF!</v>
      </c>
      <c r="G51" s="201" t="e">
        <f>G15+G16+G18+#REF!+#REF!+#REF!+#REF!</f>
        <v>#REF!</v>
      </c>
      <c r="H51" s="201"/>
      <c r="I51" s="201" t="e">
        <f>I15+I16+I18+#REF!+#REF!+#REF!+#REF!</f>
        <v>#REF!</v>
      </c>
      <c r="J51" s="32" t="e">
        <f>J15+J16+J18+#REF!+#REF!+#REF!+#REF!</f>
        <v>#REF!</v>
      </c>
    </row>
    <row r="52" spans="1:10" s="5" customFormat="1" ht="16.5" hidden="1" thickBot="1">
      <c r="A52" s="195"/>
      <c r="B52" s="199" t="s">
        <v>25</v>
      </c>
      <c r="C52" s="201" t="e">
        <f>#REF!</f>
        <v>#REF!</v>
      </c>
      <c r="D52" s="201" t="e">
        <f>#REF!</f>
        <v>#REF!</v>
      </c>
      <c r="E52" s="201" t="e">
        <f>#REF!</f>
        <v>#REF!</v>
      </c>
      <c r="F52" s="201" t="e">
        <f>#REF!</f>
        <v>#REF!</v>
      </c>
      <c r="G52" s="201" t="e">
        <f>#REF!</f>
        <v>#REF!</v>
      </c>
      <c r="H52" s="201"/>
      <c r="I52" s="201" t="e">
        <f>#REF!</f>
        <v>#REF!</v>
      </c>
      <c r="J52" s="32" t="e">
        <f>#REF!</f>
        <v>#REF!</v>
      </c>
    </row>
    <row r="53" spans="1:10" s="5" customFormat="1" ht="16.5" hidden="1" thickBot="1">
      <c r="A53" s="195"/>
      <c r="B53" s="199" t="s">
        <v>26</v>
      </c>
      <c r="C53" s="201" t="e">
        <f>#REF!-#REF!</f>
        <v>#REF!</v>
      </c>
      <c r="D53" s="201" t="e">
        <f>#REF!-#REF!</f>
        <v>#REF!</v>
      </c>
      <c r="E53" s="201" t="e">
        <f>#REF!-#REF!</f>
        <v>#REF!</v>
      </c>
      <c r="F53" s="201" t="e">
        <f>#REF!-#REF!</f>
        <v>#REF!</v>
      </c>
      <c r="G53" s="201" t="e">
        <f>#REF!-#REF!</f>
        <v>#REF!</v>
      </c>
      <c r="H53" s="201"/>
      <c r="I53" s="201" t="e">
        <f>#REF!-#REF!</f>
        <v>#REF!</v>
      </c>
      <c r="J53" s="32" t="e">
        <f>#REF!-#REF!</f>
        <v>#REF!</v>
      </c>
    </row>
    <row r="54" spans="1:10" s="5" customFormat="1" ht="16.5" hidden="1" thickBot="1">
      <c r="A54" s="195"/>
      <c r="B54" s="199" t="s">
        <v>27</v>
      </c>
      <c r="C54" s="201" t="e">
        <f>#REF!</f>
        <v>#REF!</v>
      </c>
      <c r="D54" s="201" t="e">
        <f>#REF!</f>
        <v>#REF!</v>
      </c>
      <c r="E54" s="201" t="e">
        <f>#REF!</f>
        <v>#REF!</v>
      </c>
      <c r="F54" s="201" t="e">
        <f>#REF!</f>
        <v>#REF!</v>
      </c>
      <c r="G54" s="201" t="e">
        <f>#REF!</f>
        <v>#REF!</v>
      </c>
      <c r="H54" s="201"/>
      <c r="I54" s="201" t="e">
        <f>#REF!</f>
        <v>#REF!</v>
      </c>
      <c r="J54" s="32" t="e">
        <f>#REF!</f>
        <v>#REF!</v>
      </c>
    </row>
    <row r="55" spans="1:10" s="5" customFormat="1" ht="16.5" hidden="1" thickBot="1">
      <c r="A55" s="195"/>
      <c r="B55" s="199" t="s">
        <v>28</v>
      </c>
      <c r="C55" s="201" t="e">
        <f>#REF!</f>
        <v>#REF!</v>
      </c>
      <c r="D55" s="201" t="e">
        <f>#REF!</f>
        <v>#REF!</v>
      </c>
      <c r="E55" s="201" t="e">
        <f>#REF!</f>
        <v>#REF!</v>
      </c>
      <c r="F55" s="201" t="e">
        <f>#REF!</f>
        <v>#REF!</v>
      </c>
      <c r="G55" s="201" t="e">
        <f>#REF!</f>
        <v>#REF!</v>
      </c>
      <c r="H55" s="201"/>
      <c r="I55" s="201" t="e">
        <f>#REF!</f>
        <v>#REF!</v>
      </c>
      <c r="J55" s="32" t="e">
        <f>#REF!</f>
        <v>#REF!</v>
      </c>
    </row>
    <row r="56" spans="1:10" s="5" customFormat="1" ht="16.5" hidden="1" thickBot="1">
      <c r="A56" s="195"/>
      <c r="B56" s="199" t="s">
        <v>29</v>
      </c>
      <c r="C56" s="201" t="e">
        <f>#REF!</f>
        <v>#REF!</v>
      </c>
      <c r="D56" s="201" t="e">
        <f>#REF!</f>
        <v>#REF!</v>
      </c>
      <c r="E56" s="201" t="e">
        <f>#REF!</f>
        <v>#REF!</v>
      </c>
      <c r="F56" s="201" t="e">
        <f>#REF!</f>
        <v>#REF!</v>
      </c>
      <c r="G56" s="201" t="e">
        <f>#REF!</f>
        <v>#REF!</v>
      </c>
      <c r="H56" s="201"/>
      <c r="I56" s="201" t="e">
        <f>#REF!</f>
        <v>#REF!</v>
      </c>
      <c r="J56" s="32" t="e">
        <f>#REF!</f>
        <v>#REF!</v>
      </c>
    </row>
    <row r="57" spans="1:10" s="5" customFormat="1" ht="16.5" hidden="1" thickBot="1">
      <c r="A57" s="195"/>
      <c r="B57" s="199" t="s">
        <v>30</v>
      </c>
      <c r="C57" s="201">
        <f>C24</f>
        <v>3659154.46</v>
      </c>
      <c r="D57" s="201">
        <f aca="true" t="shared" si="2" ref="D57:J57">D24</f>
        <v>2147108.99</v>
      </c>
      <c r="E57" s="201">
        <f t="shared" si="2"/>
        <v>1847076.61</v>
      </c>
      <c r="F57" s="201">
        <f t="shared" si="2"/>
        <v>0</v>
      </c>
      <c r="G57" s="201">
        <f t="shared" si="2"/>
        <v>0</v>
      </c>
      <c r="H57" s="201"/>
      <c r="I57" s="201">
        <f t="shared" si="2"/>
        <v>0</v>
      </c>
      <c r="J57" s="32">
        <f t="shared" si="2"/>
        <v>0</v>
      </c>
    </row>
    <row r="58" spans="1:10" s="5" customFormat="1" ht="16.5" hidden="1" thickBot="1">
      <c r="A58" s="195"/>
      <c r="B58" s="199" t="s">
        <v>31</v>
      </c>
      <c r="C58" s="201" t="e">
        <f>#REF!+#REF!+C40+C41+C42+#REF!+C43+C44+C35+#REF!</f>
        <v>#REF!</v>
      </c>
      <c r="D58" s="201" t="e">
        <f>#REF!+#REF!+D40+D41+D42+#REF!+D43+D44+D35+#REF!</f>
        <v>#REF!</v>
      </c>
      <c r="E58" s="201" t="e">
        <f>#REF!+#REF!+E40+E41+E42+#REF!+E43+E44+E35+#REF!</f>
        <v>#REF!</v>
      </c>
      <c r="F58" s="201" t="e">
        <f>#REF!+#REF!+F40+F41+F42+#REF!+F43+F44+F35+#REF!</f>
        <v>#REF!</v>
      </c>
      <c r="G58" s="201" t="e">
        <f>#REF!+#REF!+G40+G41+G42+#REF!+G43+G44+G35+#REF!</f>
        <v>#REF!</v>
      </c>
      <c r="H58" s="201"/>
      <c r="I58" s="201" t="e">
        <f>#REF!+#REF!+I40+I41+I42+#REF!+I43+I44+I35+#REF!</f>
        <v>#REF!</v>
      </c>
      <c r="J58" s="32" t="e">
        <f>#REF!+#REF!+J40+J41+J42+#REF!+J43+J44</f>
        <v>#REF!</v>
      </c>
    </row>
    <row r="59" spans="1:10" s="5" customFormat="1" ht="16.5" hidden="1" thickBot="1">
      <c r="A59" s="195"/>
      <c r="B59" s="199" t="s">
        <v>32</v>
      </c>
      <c r="C59" s="201" t="e">
        <f>#REF!+#REF!</f>
        <v>#REF!</v>
      </c>
      <c r="D59" s="201" t="e">
        <f>#REF!+#REF!</f>
        <v>#REF!</v>
      </c>
      <c r="E59" s="201" t="e">
        <f>#REF!+#REF!</f>
        <v>#REF!</v>
      </c>
      <c r="F59" s="201" t="e">
        <f>#REF!+#REF!</f>
        <v>#REF!</v>
      </c>
      <c r="G59" s="201" t="e">
        <f>#REF!+#REF!</f>
        <v>#REF!</v>
      </c>
      <c r="H59" s="201"/>
      <c r="I59" s="201" t="e">
        <f>#REF!+#REF!</f>
        <v>#REF!</v>
      </c>
      <c r="J59" s="32" t="e">
        <f>#REF!+#REF!</f>
        <v>#REF!</v>
      </c>
    </row>
    <row r="60" spans="1:10" s="5" customFormat="1" ht="16.5" hidden="1" thickBot="1">
      <c r="A60" s="195"/>
      <c r="B60" s="199" t="s">
        <v>33</v>
      </c>
      <c r="C60" s="201">
        <f>C38+C39</f>
        <v>4744236.48</v>
      </c>
      <c r="D60" s="201">
        <f>D38+D39</f>
        <v>2609161.66</v>
      </c>
      <c r="E60" s="201">
        <f>E38+E39</f>
        <v>2300832.97</v>
      </c>
      <c r="F60" s="201">
        <f>F38+F39</f>
        <v>1072672</v>
      </c>
      <c r="G60" s="201">
        <f>G38+G39</f>
        <v>2487470</v>
      </c>
      <c r="H60" s="201"/>
      <c r="I60" s="201">
        <f>I38+I39</f>
        <v>1417090</v>
      </c>
      <c r="J60" s="32">
        <f>J38+J39</f>
        <v>0</v>
      </c>
    </row>
    <row r="61" spans="1:10" s="5" customFormat="1" ht="16.5" hidden="1" thickBot="1">
      <c r="A61" s="195"/>
      <c r="B61" s="199" t="s">
        <v>34</v>
      </c>
      <c r="C61" s="201" t="e">
        <f>#REF!</f>
        <v>#REF!</v>
      </c>
      <c r="D61" s="201" t="e">
        <f>#REF!</f>
        <v>#REF!</v>
      </c>
      <c r="E61" s="201" t="e">
        <f>#REF!</f>
        <v>#REF!</v>
      </c>
      <c r="F61" s="201" t="e">
        <f>#REF!</f>
        <v>#REF!</v>
      </c>
      <c r="G61" s="201" t="e">
        <f>#REF!</f>
        <v>#REF!</v>
      </c>
      <c r="H61" s="201"/>
      <c r="I61" s="201" t="e">
        <f>#REF!</f>
        <v>#REF!</v>
      </c>
      <c r="J61" s="32" t="e">
        <f>#REF!</f>
        <v>#REF!</v>
      </c>
    </row>
    <row r="62" spans="1:10" s="5" customFormat="1" ht="16.5" hidden="1" thickBot="1">
      <c r="A62" s="195"/>
      <c r="B62" s="199" t="s">
        <v>35</v>
      </c>
      <c r="C62" s="201" t="e">
        <f>C36+#REF!+#REF!+#REF!+#REF!+#REF!+#REF!</f>
        <v>#REF!</v>
      </c>
      <c r="D62" s="201" t="e">
        <f>D36+#REF!+#REF!+#REF!+#REF!+#REF!+#REF!</f>
        <v>#REF!</v>
      </c>
      <c r="E62" s="201" t="e">
        <f>E36+#REF!+#REF!+#REF!+#REF!+#REF!+#REF!</f>
        <v>#REF!</v>
      </c>
      <c r="F62" s="201" t="e">
        <f>F36+#REF!+#REF!+#REF!+#REF!+#REF!+#REF!</f>
        <v>#REF!</v>
      </c>
      <c r="G62" s="201" t="e">
        <f>G36+#REF!+#REF!+#REF!+#REF!+#REF!+#REF!</f>
        <v>#REF!</v>
      </c>
      <c r="H62" s="201"/>
      <c r="I62" s="201" t="e">
        <f>I36+#REF!+#REF!+#REF!+#REF!+#REF!+#REF!</f>
        <v>#REF!</v>
      </c>
      <c r="J62" s="32" t="e">
        <f>J36+#REF!+#REF!+#REF!+#REF!+#REF!+#REF!</f>
        <v>#REF!</v>
      </c>
    </row>
    <row r="63" spans="1:10" s="5" customFormat="1" ht="16.5" hidden="1" thickBot="1">
      <c r="A63" s="195"/>
      <c r="B63" s="199" t="s">
        <v>41</v>
      </c>
      <c r="C63" s="201" t="e">
        <f>#REF!</f>
        <v>#REF!</v>
      </c>
      <c r="D63" s="201" t="e">
        <f>#REF!</f>
        <v>#REF!</v>
      </c>
      <c r="E63" s="201" t="e">
        <f>#REF!</f>
        <v>#REF!</v>
      </c>
      <c r="F63" s="201" t="e">
        <f>#REF!</f>
        <v>#REF!</v>
      </c>
      <c r="G63" s="201" t="e">
        <f>#REF!</f>
        <v>#REF!</v>
      </c>
      <c r="H63" s="201"/>
      <c r="I63" s="201" t="e">
        <f>#REF!</f>
        <v>#REF!</v>
      </c>
      <c r="J63" s="32" t="e">
        <f>#REF!</f>
        <v>#REF!</v>
      </c>
    </row>
    <row r="64" spans="1:10" s="5" customFormat="1" ht="16.5" hidden="1" thickBot="1">
      <c r="A64" s="195"/>
      <c r="B64" s="199" t="s">
        <v>36</v>
      </c>
      <c r="C64" s="201" t="e">
        <f>#REF!+#REF!</f>
        <v>#REF!</v>
      </c>
      <c r="D64" s="201" t="e">
        <f>#REF!+#REF!</f>
        <v>#REF!</v>
      </c>
      <c r="E64" s="201" t="e">
        <f>#REF!+#REF!</f>
        <v>#REF!</v>
      </c>
      <c r="F64" s="201" t="e">
        <f>#REF!+#REF!</f>
        <v>#REF!</v>
      </c>
      <c r="G64" s="201" t="e">
        <f>#REF!+#REF!</f>
        <v>#REF!</v>
      </c>
      <c r="H64" s="201"/>
      <c r="I64" s="201" t="e">
        <f>#REF!+#REF!</f>
        <v>#REF!</v>
      </c>
      <c r="J64" s="32" t="e">
        <f>#REF!+#REF!</f>
        <v>#REF!</v>
      </c>
    </row>
    <row r="65" spans="1:10" s="5" customFormat="1" ht="16.5" hidden="1" thickBot="1">
      <c r="A65" s="195"/>
      <c r="B65" s="199" t="s">
        <v>37</v>
      </c>
      <c r="C65" s="201" t="e">
        <f>#REF!+#REF!</f>
        <v>#REF!</v>
      </c>
      <c r="D65" s="201" t="e">
        <f>#REF!+#REF!</f>
        <v>#REF!</v>
      </c>
      <c r="E65" s="201" t="e">
        <f>#REF!+#REF!</f>
        <v>#REF!</v>
      </c>
      <c r="F65" s="201" t="e">
        <f>#REF!+#REF!</f>
        <v>#REF!</v>
      </c>
      <c r="G65" s="201" t="e">
        <f>#REF!+#REF!</f>
        <v>#REF!</v>
      </c>
      <c r="H65" s="201"/>
      <c r="I65" s="201" t="e">
        <f>#REF!+#REF!</f>
        <v>#REF!</v>
      </c>
      <c r="J65" s="32" t="e">
        <f>#REF!+#REF!</f>
        <v>#REF!</v>
      </c>
    </row>
    <row r="66" spans="1:10" s="5" customFormat="1" ht="16.5" hidden="1" thickBot="1">
      <c r="A66" s="195"/>
      <c r="B66" s="199" t="s">
        <v>38</v>
      </c>
      <c r="C66" s="201" t="e">
        <f>C64+C65</f>
        <v>#REF!</v>
      </c>
      <c r="D66" s="201" t="e">
        <f aca="true" t="shared" si="3" ref="D66:J66">D64+D65</f>
        <v>#REF!</v>
      </c>
      <c r="E66" s="201" t="e">
        <f t="shared" si="3"/>
        <v>#REF!</v>
      </c>
      <c r="F66" s="201" t="e">
        <f t="shared" si="3"/>
        <v>#REF!</v>
      </c>
      <c r="G66" s="201" t="e">
        <f t="shared" si="3"/>
        <v>#REF!</v>
      </c>
      <c r="H66" s="201"/>
      <c r="I66" s="201" t="e">
        <f t="shared" si="3"/>
        <v>#REF!</v>
      </c>
      <c r="J66" s="32" t="e">
        <f t="shared" si="3"/>
        <v>#REF!</v>
      </c>
    </row>
    <row r="67" spans="1:10" s="5" customFormat="1" ht="16.5" hidden="1" thickBot="1">
      <c r="A67" s="195"/>
      <c r="B67" s="199" t="s">
        <v>39</v>
      </c>
      <c r="C67" s="201" t="e">
        <f>((C8+C22)-(C51)-((#REF!+#REF!)-C66))</f>
        <v>#REF!</v>
      </c>
      <c r="D67" s="201" t="e">
        <f>((D8+D22)-(D51)-((#REF!+#REF!)-D66))</f>
        <v>#REF!</v>
      </c>
      <c r="E67" s="201" t="e">
        <f>((E8+E22)-(E51)-((#REF!+#REF!)-E66))</f>
        <v>#REF!</v>
      </c>
      <c r="F67" s="201" t="e">
        <f>((F8+F22)-(F51)-((#REF!+#REF!)-F66))</f>
        <v>#REF!</v>
      </c>
      <c r="G67" s="201" t="e">
        <f>((G8+G22)-(G51)-((#REF!+#REF!)-G66))</f>
        <v>#REF!</v>
      </c>
      <c r="H67" s="201"/>
      <c r="I67" s="201" t="e">
        <f>((I8+I22)-(I51)-((#REF!+#REF!)-I66))</f>
        <v>#REF!</v>
      </c>
      <c r="J67" s="32" t="e">
        <f>((J8+J22)-(J51)-((#REF!+#REF!)-J66))</f>
        <v>#REF!</v>
      </c>
    </row>
    <row r="68" spans="1:10" s="5" customFormat="1" ht="16.5" hidden="1" thickBot="1">
      <c r="A68" s="195"/>
      <c r="B68" s="202" t="s">
        <v>40</v>
      </c>
      <c r="C68" s="203" t="e">
        <f>-(C67-(C64-C15-C16-C18-#REF!))</f>
        <v>#REF!</v>
      </c>
      <c r="D68" s="203" t="e">
        <f>-(D67-(D64-D15-D16-D18-#REF!))</f>
        <v>#REF!</v>
      </c>
      <c r="E68" s="203" t="e">
        <f>-(E67-(E64-E15-E16-E18-#REF!))</f>
        <v>#REF!</v>
      </c>
      <c r="F68" s="203" t="e">
        <f>-(F67-(F64-F15-F16-F18-#REF!))</f>
        <v>#REF!</v>
      </c>
      <c r="G68" s="203" t="e">
        <f>-(G67-(G64-G15-G16-G18-#REF!))</f>
        <v>#REF!</v>
      </c>
      <c r="H68" s="203"/>
      <c r="I68" s="203" t="e">
        <f>-(I67-(I64-I15-I16-I18-#REF!))</f>
        <v>#REF!</v>
      </c>
      <c r="J68" s="33" t="e">
        <f>J67-J64</f>
        <v>#REF!</v>
      </c>
    </row>
    <row r="69" spans="1:10" s="5" customFormat="1" ht="16.5" thickTop="1">
      <c r="A69" s="195"/>
      <c r="B69" s="204"/>
      <c r="C69" s="204"/>
      <c r="D69" s="204"/>
      <c r="E69" s="204"/>
      <c r="F69" s="204"/>
      <c r="G69" s="204"/>
      <c r="H69" s="204"/>
      <c r="I69" s="204"/>
      <c r="J69" s="27"/>
    </row>
    <row r="70" spans="2:10" s="5" customFormat="1" ht="15.75">
      <c r="B70" s="21"/>
      <c r="C70" s="21"/>
      <c r="D70" s="21"/>
      <c r="E70" s="21"/>
      <c r="F70" s="21"/>
      <c r="G70" s="21"/>
      <c r="H70" s="21"/>
      <c r="I70" s="21"/>
      <c r="J70" s="21"/>
    </row>
    <row r="71" spans="2:10" s="5" customFormat="1" ht="15.75">
      <c r="B71" s="21"/>
      <c r="C71" s="21"/>
      <c r="D71" s="21"/>
      <c r="E71" s="21"/>
      <c r="F71" s="21"/>
      <c r="G71" s="21"/>
      <c r="H71" s="21"/>
      <c r="I71" s="21"/>
      <c r="J71" s="21"/>
    </row>
    <row r="72" spans="2:10" s="5" customFormat="1" ht="15.75">
      <c r="B72" s="21"/>
      <c r="C72" s="21"/>
      <c r="D72" s="21"/>
      <c r="E72" s="21"/>
      <c r="F72" s="21"/>
      <c r="G72" s="21"/>
      <c r="H72" s="21"/>
      <c r="I72" s="21"/>
      <c r="J72" s="21"/>
    </row>
    <row r="73" spans="2:10" s="5" customFormat="1" ht="15.75">
      <c r="B73" s="21"/>
      <c r="C73" s="21"/>
      <c r="D73" s="21"/>
      <c r="E73" s="21"/>
      <c r="F73" s="21"/>
      <c r="G73" s="21"/>
      <c r="H73" s="21"/>
      <c r="I73" s="21"/>
      <c r="J73" s="21"/>
    </row>
    <row r="74" spans="3:10" s="5" customFormat="1" ht="15.75">
      <c r="C74" s="21"/>
      <c r="D74" s="21"/>
      <c r="E74" s="21"/>
      <c r="F74" s="21"/>
      <c r="G74" s="21"/>
      <c r="H74" s="21"/>
      <c r="I74" s="21"/>
      <c r="J74" s="21"/>
    </row>
    <row r="75" spans="2:10" s="5" customFormat="1" ht="15.75">
      <c r="B75" s="21"/>
      <c r="C75" s="21"/>
      <c r="D75" s="21"/>
      <c r="E75" s="21"/>
      <c r="F75" s="21"/>
      <c r="G75" s="21"/>
      <c r="H75" s="21"/>
      <c r="I75" s="21"/>
      <c r="J75" s="21"/>
    </row>
    <row r="76" spans="2:10" s="5" customFormat="1" ht="15.75">
      <c r="B76" s="21"/>
      <c r="C76" s="21"/>
      <c r="D76" s="21"/>
      <c r="E76" s="21"/>
      <c r="F76" s="21"/>
      <c r="G76" s="21"/>
      <c r="H76" s="21"/>
      <c r="I76" s="21"/>
      <c r="J76" s="21"/>
    </row>
    <row r="77" spans="2:10" s="5" customFormat="1" ht="15.75">
      <c r="B77" s="21"/>
      <c r="C77" s="21"/>
      <c r="D77" s="21"/>
      <c r="E77" s="21"/>
      <c r="F77" s="21"/>
      <c r="G77" s="21"/>
      <c r="H77" s="21"/>
      <c r="I77" s="21"/>
      <c r="J77" s="21"/>
    </row>
    <row r="78" spans="2:10" s="5" customFormat="1" ht="15.75">
      <c r="B78" s="21"/>
      <c r="C78" s="21"/>
      <c r="D78" s="21"/>
      <c r="E78" s="21"/>
      <c r="F78" s="21"/>
      <c r="G78" s="21"/>
      <c r="H78" s="21"/>
      <c r="I78" s="21"/>
      <c r="J78" s="21"/>
    </row>
    <row r="79" spans="2:10" s="5" customFormat="1" ht="15.75">
      <c r="B79" s="21"/>
      <c r="C79" s="21"/>
      <c r="D79" s="21"/>
      <c r="E79" s="21"/>
      <c r="F79" s="21"/>
      <c r="G79" s="21"/>
      <c r="H79" s="21"/>
      <c r="I79" s="21"/>
      <c r="J79" s="21"/>
    </row>
    <row r="80" spans="2:10" s="5" customFormat="1" ht="15.75">
      <c r="B80" s="21"/>
      <c r="C80" s="21"/>
      <c r="D80" s="21"/>
      <c r="E80" s="21"/>
      <c r="F80" s="21"/>
      <c r="G80" s="21"/>
      <c r="H80" s="21"/>
      <c r="I80" s="21"/>
      <c r="J80" s="21"/>
    </row>
    <row r="81" spans="2:10" s="5" customFormat="1" ht="18.75" customHeight="1">
      <c r="B81" s="21"/>
      <c r="C81" s="21"/>
      <c r="D81" s="21"/>
      <c r="E81" s="21"/>
      <c r="F81" s="21"/>
      <c r="G81" s="21"/>
      <c r="H81" s="21"/>
      <c r="I81" s="21"/>
      <c r="J81" s="21"/>
    </row>
    <row r="82" spans="2:10" s="5" customFormat="1" ht="15.75">
      <c r="B82" s="21"/>
      <c r="C82" s="21"/>
      <c r="D82" s="21"/>
      <c r="E82" s="21"/>
      <c r="F82" s="21"/>
      <c r="G82" s="21"/>
      <c r="H82" s="21"/>
      <c r="I82" s="21"/>
      <c r="J82" s="21"/>
    </row>
    <row r="83" spans="2:10" s="5" customFormat="1" ht="15.75">
      <c r="B83" s="21"/>
      <c r="C83" s="21"/>
      <c r="D83" s="21"/>
      <c r="E83" s="21"/>
      <c r="F83" s="21"/>
      <c r="G83" s="21"/>
      <c r="H83" s="21"/>
      <c r="I83" s="21"/>
      <c r="J83" s="21"/>
    </row>
    <row r="84" spans="2:10" s="5" customFormat="1" ht="15.75">
      <c r="B84" s="21"/>
      <c r="C84" s="21"/>
      <c r="D84" s="21"/>
      <c r="E84" s="21"/>
      <c r="F84" s="21"/>
      <c r="G84" s="21"/>
      <c r="H84" s="21"/>
      <c r="I84" s="21"/>
      <c r="J84" s="21"/>
    </row>
    <row r="85" spans="2:10" s="5" customFormat="1" ht="15.75">
      <c r="B85" s="21"/>
      <c r="C85" s="21"/>
      <c r="D85" s="21"/>
      <c r="E85" s="21"/>
      <c r="F85" s="21"/>
      <c r="G85" s="21"/>
      <c r="H85" s="21"/>
      <c r="I85" s="21"/>
      <c r="J85" s="21"/>
    </row>
    <row r="86" spans="2:10" s="5" customFormat="1" ht="15.75">
      <c r="B86" s="21"/>
      <c r="C86" s="21"/>
      <c r="D86" s="21"/>
      <c r="E86" s="21"/>
      <c r="F86" s="21"/>
      <c r="G86" s="21"/>
      <c r="H86" s="21"/>
      <c r="I86" s="21"/>
      <c r="J86" s="21"/>
    </row>
    <row r="87" spans="2:10" s="5" customFormat="1" ht="15.75">
      <c r="B87" s="21"/>
      <c r="C87" s="21"/>
      <c r="D87" s="21"/>
      <c r="E87" s="21"/>
      <c r="F87" s="21"/>
      <c r="G87" s="21"/>
      <c r="H87" s="21"/>
      <c r="I87" s="21"/>
      <c r="J87" s="21"/>
    </row>
    <row r="88" spans="3:10" s="21" customFormat="1" ht="15.75">
      <c r="C88" s="28"/>
      <c r="D88" s="28"/>
      <c r="E88" s="28"/>
      <c r="F88" s="28"/>
      <c r="G88" s="28"/>
      <c r="H88" s="28"/>
      <c r="I88" s="28"/>
      <c r="J88" s="28"/>
    </row>
    <row r="89" s="5" customFormat="1" ht="15.75"/>
    <row r="90" s="5" customFormat="1" ht="15.75"/>
    <row r="91" s="5" customFormat="1" ht="15.75"/>
    <row r="92" s="5" customFormat="1" ht="15.75"/>
    <row r="93" s="5" customFormat="1" ht="15.75"/>
    <row r="94" s="5" customFormat="1" ht="15.75"/>
    <row r="95" s="5" customFormat="1" ht="15.75"/>
    <row r="96" s="5" customFormat="1" ht="15.75"/>
    <row r="97" s="5" customFormat="1" ht="15.75"/>
    <row r="98" s="5" customFormat="1" ht="15.75"/>
    <row r="99" s="5" customFormat="1" ht="15.75"/>
    <row r="100" s="5" customFormat="1" ht="15.75"/>
    <row r="101" s="5" customFormat="1" ht="15.75"/>
    <row r="102" s="5" customFormat="1" ht="15.75"/>
    <row r="103" s="5" customFormat="1" ht="15.75"/>
    <row r="104" s="5" customFormat="1" ht="15.75"/>
    <row r="105" s="5" customFormat="1" ht="15.75"/>
    <row r="106" s="5" customFormat="1" ht="15.75"/>
    <row r="107" s="5" customFormat="1" ht="15.75"/>
    <row r="108" s="5" customFormat="1" ht="15.75"/>
    <row r="109" s="5" customFormat="1" ht="15.75"/>
    <row r="110" s="5" customFormat="1" ht="15.75"/>
    <row r="111" s="5" customFormat="1" ht="15.75"/>
    <row r="112" s="5" customFormat="1" ht="15.75"/>
    <row r="113" s="5" customFormat="1" ht="15.75"/>
    <row r="114" s="5" customFormat="1" ht="15.75"/>
    <row r="115" s="5" customFormat="1" ht="15.75"/>
    <row r="116" s="5" customFormat="1" ht="15.75"/>
    <row r="117" s="5" customFormat="1" ht="15.75"/>
    <row r="118" s="5" customFormat="1" ht="15.75"/>
    <row r="119" s="5" customFormat="1" ht="15.75"/>
    <row r="120" s="5" customFormat="1" ht="15.75"/>
    <row r="121" s="5" customFormat="1" ht="15.75"/>
    <row r="122" s="5" customFormat="1" ht="15.75"/>
    <row r="123" s="5" customFormat="1" ht="15.75"/>
    <row r="124" s="5" customFormat="1" ht="15.75"/>
    <row r="125" s="5" customFormat="1" ht="15.75"/>
    <row r="126" s="5" customFormat="1" ht="15.75"/>
    <row r="127" s="5" customFormat="1" ht="15.75"/>
    <row r="128" s="5" customFormat="1" ht="15.75"/>
    <row r="129" s="5" customFormat="1" ht="15.75"/>
    <row r="130" s="5" customFormat="1" ht="15.75"/>
    <row r="131" s="5" customFormat="1" ht="15.75"/>
    <row r="132" s="5" customFormat="1" ht="15.75"/>
    <row r="133" s="5" customFormat="1" ht="15.75"/>
    <row r="134" s="5" customFormat="1" ht="15.75"/>
    <row r="135" s="5" customFormat="1" ht="15.75"/>
    <row r="136" s="5" customFormat="1" ht="15.75"/>
    <row r="137" s="5" customFormat="1" ht="15.75"/>
    <row r="138" s="5" customFormat="1" ht="15.75"/>
    <row r="139" s="5" customFormat="1" ht="15.75"/>
    <row r="140" s="5" customFormat="1" ht="15.75"/>
    <row r="141" s="5" customFormat="1" ht="15.75"/>
    <row r="142" s="5" customFormat="1" ht="15.75"/>
    <row r="143" s="5" customFormat="1" ht="15.75"/>
    <row r="144" s="5" customFormat="1" ht="15.75"/>
    <row r="145" s="5" customFormat="1" ht="15.75"/>
    <row r="146" s="5" customFormat="1" ht="15.75"/>
    <row r="147" s="5" customFormat="1" ht="15.75"/>
    <row r="148" s="5" customFormat="1" ht="15.75"/>
    <row r="149" s="5" customFormat="1" ht="15.75"/>
    <row r="150" s="5" customFormat="1" ht="15.75"/>
    <row r="151" s="5" customFormat="1" ht="15.75"/>
    <row r="152" s="5" customFormat="1" ht="15.75"/>
    <row r="153" s="5" customFormat="1" ht="15.75"/>
    <row r="154" s="5" customFormat="1" ht="15.75"/>
    <row r="155" s="5" customFormat="1" ht="15.75"/>
    <row r="156" s="5" customFormat="1" ht="15.75"/>
    <row r="157" s="5" customFormat="1" ht="15.75"/>
    <row r="158" s="5" customFormat="1" ht="15.75"/>
    <row r="159" s="5" customFormat="1" ht="15.75"/>
    <row r="160" s="5" customFormat="1" ht="15.75"/>
    <row r="161" s="5" customFormat="1" ht="15.75"/>
    <row r="162" s="5" customFormat="1" ht="15.75"/>
    <row r="163" s="5" customFormat="1" ht="15.75"/>
    <row r="164" s="5" customFormat="1" ht="15.75"/>
    <row r="165" s="5" customFormat="1" ht="15.75"/>
    <row r="166" s="5" customFormat="1" ht="15.75"/>
    <row r="167" s="5" customFormat="1" ht="15.75"/>
    <row r="168" s="5" customFormat="1" ht="15.75"/>
    <row r="169" s="5" customFormat="1" ht="15.75"/>
    <row r="170" s="5" customFormat="1" ht="15.75"/>
    <row r="171" s="5" customFormat="1" ht="15.75"/>
    <row r="172" s="5" customFormat="1" ht="15.75"/>
    <row r="173" s="5" customFormat="1" ht="15.75"/>
    <row r="174" s="5" customFormat="1" ht="15.75"/>
    <row r="175" s="5" customFormat="1" ht="15.75"/>
    <row r="176" s="5" customFormat="1" ht="15.75"/>
    <row r="177" s="5" customFormat="1" ht="15.75"/>
    <row r="178" s="5" customFormat="1" ht="15.75"/>
    <row r="179" s="5" customFormat="1" ht="15.75"/>
    <row r="180" s="5" customFormat="1" ht="15.75"/>
    <row r="181" s="5" customFormat="1" ht="15.75"/>
    <row r="182" s="5" customFormat="1" ht="15.75"/>
    <row r="183" s="5" customFormat="1" ht="15.75"/>
    <row r="184" s="5" customFormat="1" ht="15.75"/>
    <row r="185" s="5" customFormat="1" ht="15.75"/>
    <row r="186" s="5" customFormat="1" ht="15.75"/>
    <row r="187" s="5" customFormat="1" ht="15.75"/>
    <row r="188" s="5" customFormat="1" ht="15.75"/>
    <row r="189" s="5" customFormat="1" ht="15.75"/>
    <row r="190" s="5" customFormat="1" ht="15.75"/>
    <row r="191" s="5" customFormat="1" ht="15.75"/>
    <row r="192" s="5" customFormat="1" ht="15.75"/>
    <row r="193" s="5" customFormat="1" ht="15.75"/>
    <row r="194" s="5" customFormat="1" ht="15.75"/>
    <row r="195" s="5" customFormat="1" ht="15.75"/>
    <row r="196" s="5" customFormat="1" ht="15.75"/>
    <row r="197" s="5" customFormat="1" ht="15.75"/>
    <row r="198" s="5" customFormat="1" ht="15.75"/>
    <row r="199" s="5" customFormat="1" ht="15.75"/>
    <row r="200" s="5" customFormat="1" ht="15.75"/>
    <row r="201" s="5" customFormat="1" ht="15.75"/>
    <row r="202" s="5" customFormat="1" ht="15.75"/>
  </sheetData>
  <sheetProtection/>
  <printOptions/>
  <pageMargins left="0.787401575" right="0.787401575" top="0.984251969" bottom="0.984251969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/>
  <dimension ref="A7:G28"/>
  <sheetViews>
    <sheetView showGridLines="0" zoomScale="75" zoomScaleNormal="75" zoomScalePageLayoutView="0" workbookViewId="0" topLeftCell="A7">
      <selection activeCell="F22" sqref="F22"/>
    </sheetView>
  </sheetViews>
  <sheetFormatPr defaultColWidth="8.8515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5" width="19.57421875" style="1" bestFit="1" customWidth="1"/>
    <col min="6" max="6" width="19.57421875" style="1" customWidth="1"/>
    <col min="7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48" t="str">
        <f>DADOS!A3</f>
        <v>MUNICIPIO DE QUILOMBO</v>
      </c>
      <c r="B7" s="48"/>
    </row>
    <row r="8" ht="15">
      <c r="A8" s="1" t="str">
        <f>DADOS!A17</f>
        <v>Exercício de 2019</v>
      </c>
    </row>
    <row r="9" spans="1:2" ht="15.75">
      <c r="A9" s="49" t="s">
        <v>44</v>
      </c>
      <c r="B9" s="49"/>
    </row>
    <row r="10" spans="1:2" ht="21" customHeight="1">
      <c r="A10" s="49" t="s">
        <v>45</v>
      </c>
      <c r="B10" s="49"/>
    </row>
    <row r="11" spans="1:2" ht="15.75" thickBot="1">
      <c r="A11" s="50" t="s">
        <v>47</v>
      </c>
      <c r="B11" s="50"/>
    </row>
    <row r="12" spans="1:7" ht="39.75" customHeight="1" thickTop="1">
      <c r="A12" s="51" t="s">
        <v>16</v>
      </c>
      <c r="B12" s="51">
        <f>DADOS!$E$32-4</f>
        <v>2015</v>
      </c>
      <c r="C12" s="51">
        <f>DADOS!$E$32-3</f>
        <v>2016</v>
      </c>
      <c r="D12" s="51">
        <f>DADOS!$E$32-2</f>
        <v>2017</v>
      </c>
      <c r="E12" s="51">
        <f>DADOS!$E$32-1</f>
        <v>2018</v>
      </c>
      <c r="F12" s="51">
        <f>DADOS!$E$32</f>
        <v>2019</v>
      </c>
      <c r="G12" s="51">
        <f>DADOS!$E$32+1</f>
        <v>2020</v>
      </c>
    </row>
    <row r="13" spans="1:7" ht="18.75" customHeight="1" hidden="1">
      <c r="A13" s="52" t="s">
        <v>17</v>
      </c>
      <c r="B13" s="52"/>
      <c r="C13" s="53">
        <v>0</v>
      </c>
      <c r="D13" s="53"/>
      <c r="E13" s="53">
        <v>0.04</v>
      </c>
      <c r="F13" s="53">
        <v>0.04</v>
      </c>
      <c r="G13" s="53">
        <v>0.04</v>
      </c>
    </row>
    <row r="14" spans="1:7" ht="15.75">
      <c r="A14" s="52" t="s">
        <v>261</v>
      </c>
      <c r="B14" s="274">
        <v>0.1067</v>
      </c>
      <c r="C14" s="275">
        <v>0.0629</v>
      </c>
      <c r="D14" s="275">
        <v>0.0433</v>
      </c>
      <c r="E14" s="276">
        <v>0.0443</v>
      </c>
      <c r="F14" s="276">
        <v>0.0436</v>
      </c>
      <c r="G14" s="276">
        <v>0.0431</v>
      </c>
    </row>
    <row r="15" spans="1:7" ht="15.75">
      <c r="A15" s="52" t="s">
        <v>262</v>
      </c>
      <c r="B15" s="277">
        <v>-0.038</v>
      </c>
      <c r="C15" s="278">
        <v>-0.036</v>
      </c>
      <c r="D15" s="278">
        <v>0.0047</v>
      </c>
      <c r="E15" s="276">
        <v>0.024</v>
      </c>
      <c r="F15" s="276">
        <v>0.0253</v>
      </c>
      <c r="G15" s="276">
        <v>0.0252</v>
      </c>
    </row>
    <row r="16" spans="1:7" ht="15.75">
      <c r="A16" s="55" t="s">
        <v>263</v>
      </c>
      <c r="B16" s="279">
        <f>((Projeções!D34/Projeções!C34)-1)-B14</f>
        <v>-0.04739048185600135</v>
      </c>
      <c r="C16" s="279">
        <f>((Projeções!E34/Projeções!D34)-1)-C14</f>
        <v>-0.1090908122215745</v>
      </c>
      <c r="D16" s="279">
        <v>-0.0188</v>
      </c>
      <c r="E16" s="276">
        <v>0.0181</v>
      </c>
      <c r="F16" s="276">
        <v>0.02</v>
      </c>
      <c r="G16" s="276">
        <v>0.02</v>
      </c>
    </row>
    <row r="17" spans="1:7" ht="15.75">
      <c r="A17" s="54" t="s">
        <v>264</v>
      </c>
      <c r="B17" s="279">
        <f>((Projeções!D36/Projeções!C36)-1)-B14-B15</f>
        <v>-0.013003962475666396</v>
      </c>
      <c r="C17" s="279">
        <f>((Projeções!E36/Projeções!D36)-1)-C14-C15</f>
        <v>-0.11543651146694864</v>
      </c>
      <c r="D17" s="279">
        <v>-0.1226</v>
      </c>
      <c r="E17" s="276">
        <v>0.05</v>
      </c>
      <c r="F17" s="276">
        <v>0.05</v>
      </c>
      <c r="G17" s="276">
        <v>0.05</v>
      </c>
    </row>
    <row r="18" spans="1:7" ht="15.75">
      <c r="A18" s="54" t="s">
        <v>265</v>
      </c>
      <c r="B18" s="279">
        <f>((Projeções!D10/Projeções!C10)-1)-B14-B15</f>
        <v>0.029084478085287004</v>
      </c>
      <c r="C18" s="279">
        <f>((Projeções!E10/Projeções!D10)-1)-C14-C15</f>
        <v>0.03679172480034568</v>
      </c>
      <c r="D18" s="279">
        <f>((Projeções!F10/Projeções!E10)-1)-D14-D15</f>
        <v>-0.1409769439695183</v>
      </c>
      <c r="E18" s="276">
        <v>0.1</v>
      </c>
      <c r="F18" s="276">
        <v>0.1</v>
      </c>
      <c r="G18" s="276">
        <v>0.1</v>
      </c>
    </row>
    <row r="19" spans="1:7" ht="15.75">
      <c r="A19" s="54" t="s">
        <v>266</v>
      </c>
      <c r="B19" s="279">
        <f>((Projeções!D18/Projeções!C18)-1)-B14-B15</f>
        <v>-0.05908937118922177</v>
      </c>
      <c r="C19" s="279">
        <f>((Projeções!E18/Projeções!D18)-1)-C14-C15</f>
        <v>0.05094473371583833</v>
      </c>
      <c r="D19" s="279">
        <v>0.1533</v>
      </c>
      <c r="E19" s="276">
        <v>0.25</v>
      </c>
      <c r="F19" s="276">
        <v>0.15</v>
      </c>
      <c r="G19" s="276">
        <v>0.15</v>
      </c>
    </row>
    <row r="20" spans="1:7" ht="15.75">
      <c r="A20" s="52" t="s">
        <v>267</v>
      </c>
      <c r="B20" s="272"/>
      <c r="C20" s="273"/>
      <c r="D20" s="273"/>
      <c r="E20" s="53">
        <v>0.0181</v>
      </c>
      <c r="F20" s="53">
        <v>0.02</v>
      </c>
      <c r="G20" s="53">
        <v>0.02</v>
      </c>
    </row>
    <row r="21" spans="1:7" ht="15.75">
      <c r="A21" s="56" t="s">
        <v>268</v>
      </c>
      <c r="B21" s="279">
        <f>((Projeções!D38/Projeções!C38)-1)-B14-B15</f>
        <v>-0.5187354965442195</v>
      </c>
      <c r="C21" s="279">
        <f>((Projeções!E38/Projeções!D38)-1)-C14-C15</f>
        <v>-0.14507155476675213</v>
      </c>
      <c r="D21" s="279">
        <v>-0.083</v>
      </c>
      <c r="E21" s="276">
        <v>0.2</v>
      </c>
      <c r="F21" s="276">
        <v>0.2</v>
      </c>
      <c r="G21" s="276">
        <v>0.2</v>
      </c>
    </row>
    <row r="22" spans="1:7" ht="15.75">
      <c r="A22" s="56" t="s">
        <v>348</v>
      </c>
      <c r="B22" s="260"/>
      <c r="C22" s="281">
        <v>264595064</v>
      </c>
      <c r="D22" s="282">
        <v>277349475</v>
      </c>
      <c r="E22" s="282">
        <v>296587322</v>
      </c>
      <c r="F22" s="282">
        <v>317349348</v>
      </c>
      <c r="G22" s="282">
        <v>339368988</v>
      </c>
    </row>
    <row r="23" spans="1:2" ht="15">
      <c r="A23" s="58"/>
      <c r="B23" s="58"/>
    </row>
    <row r="24" spans="1:2" ht="15">
      <c r="A24" s="58"/>
      <c r="B24" s="58"/>
    </row>
    <row r="28" spans="1:2" ht="58.5" customHeight="1">
      <c r="A28" s="271"/>
      <c r="B28" s="59"/>
    </row>
  </sheetData>
  <sheetProtection/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1"/>
  <dimension ref="A1:J21"/>
  <sheetViews>
    <sheetView zoomScale="80" zoomScaleNormal="80" zoomScalePageLayoutView="0" workbookViewId="0" topLeftCell="A1">
      <selection activeCell="E36" sqref="E36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43" t="str">
        <f>DADOS!A3</f>
        <v>MUNICIPIO DE QUILOMBO</v>
      </c>
      <c r="B1" s="344"/>
      <c r="C1" s="344"/>
      <c r="D1" s="344"/>
      <c r="E1" s="344"/>
      <c r="F1" s="344"/>
      <c r="G1" s="344"/>
      <c r="H1" s="344"/>
      <c r="I1" s="344"/>
      <c r="J1" s="345"/>
    </row>
    <row r="2" spans="1:10" ht="12.75">
      <c r="A2" s="346" t="s">
        <v>48</v>
      </c>
      <c r="B2" s="344"/>
      <c r="C2" s="344"/>
      <c r="D2" s="344"/>
      <c r="E2" s="344"/>
      <c r="F2" s="344"/>
      <c r="G2" s="344"/>
      <c r="H2" s="344"/>
      <c r="I2" s="344"/>
      <c r="J2" s="345"/>
    </row>
    <row r="3" spans="1:10" ht="12.75">
      <c r="A3" s="346" t="s">
        <v>227</v>
      </c>
      <c r="B3" s="344"/>
      <c r="C3" s="344"/>
      <c r="D3" s="344"/>
      <c r="E3" s="344"/>
      <c r="F3" s="344"/>
      <c r="G3" s="344"/>
      <c r="H3" s="344"/>
      <c r="I3" s="344"/>
      <c r="J3" s="345"/>
    </row>
    <row r="4" spans="1:10" ht="12.75">
      <c r="A4" s="347" t="s">
        <v>228</v>
      </c>
      <c r="B4" s="348"/>
      <c r="C4" s="348"/>
      <c r="D4" s="348"/>
      <c r="E4" s="348"/>
      <c r="F4" s="348"/>
      <c r="G4" s="348"/>
      <c r="H4" s="348"/>
      <c r="I4" s="348"/>
      <c r="J4" s="349"/>
    </row>
    <row r="5" spans="1:10" ht="12.75">
      <c r="A5" s="346" t="str">
        <f>DADOS!A17</f>
        <v>Exercício de 2019</v>
      </c>
      <c r="B5" s="344"/>
      <c r="C5" s="344"/>
      <c r="D5" s="344"/>
      <c r="E5" s="344"/>
      <c r="F5" s="344"/>
      <c r="G5" s="344"/>
      <c r="H5" s="344"/>
      <c r="I5" s="344"/>
      <c r="J5" s="345"/>
    </row>
    <row r="6" spans="1:10" ht="12.75">
      <c r="A6" s="346"/>
      <c r="B6" s="344"/>
      <c r="C6" s="344"/>
      <c r="D6" s="344"/>
      <c r="E6" s="344"/>
      <c r="F6" s="344"/>
      <c r="G6" s="344"/>
      <c r="H6" s="344"/>
      <c r="I6" s="344"/>
      <c r="J6" s="345"/>
    </row>
    <row r="7" spans="1:10" ht="15.75">
      <c r="A7" s="60" t="s">
        <v>104</v>
      </c>
      <c r="B7" s="351"/>
      <c r="C7" s="351"/>
      <c r="D7" s="351"/>
      <c r="E7" s="351"/>
      <c r="F7" s="351"/>
      <c r="G7" s="351"/>
      <c r="H7" s="352">
        <v>1</v>
      </c>
      <c r="I7" s="353"/>
      <c r="J7" s="353"/>
    </row>
    <row r="8" spans="1:10" s="38" customFormat="1" ht="12.75">
      <c r="A8" s="354" t="s">
        <v>105</v>
      </c>
      <c r="B8" s="357">
        <f>DADOS!E32</f>
        <v>2019</v>
      </c>
      <c r="C8" s="358"/>
      <c r="D8" s="359"/>
      <c r="E8" s="357">
        <f>B8+1</f>
        <v>2020</v>
      </c>
      <c r="F8" s="358"/>
      <c r="G8" s="359"/>
      <c r="H8" s="357">
        <f>B8+2</f>
        <v>2021</v>
      </c>
      <c r="I8" s="358"/>
      <c r="J8" s="358"/>
    </row>
    <row r="9" spans="1:10" ht="15.75" customHeight="1">
      <c r="A9" s="355"/>
      <c r="B9" s="63" t="s">
        <v>106</v>
      </c>
      <c r="C9" s="64" t="s">
        <v>106</v>
      </c>
      <c r="D9" s="64" t="s">
        <v>107</v>
      </c>
      <c r="E9" s="64" t="s">
        <v>106</v>
      </c>
      <c r="F9" s="64" t="s">
        <v>106</v>
      </c>
      <c r="G9" s="64" t="s">
        <v>107</v>
      </c>
      <c r="H9" s="64" t="s">
        <v>106</v>
      </c>
      <c r="I9" s="64" t="s">
        <v>106</v>
      </c>
      <c r="J9" s="65" t="s">
        <v>107</v>
      </c>
    </row>
    <row r="10" spans="1:10" ht="15.75" customHeight="1">
      <c r="A10" s="355"/>
      <c r="B10" s="66" t="s">
        <v>108</v>
      </c>
      <c r="C10" s="67" t="s">
        <v>109</v>
      </c>
      <c r="D10" s="67" t="s">
        <v>110</v>
      </c>
      <c r="E10" s="67" t="s">
        <v>108</v>
      </c>
      <c r="F10" s="67" t="s">
        <v>109</v>
      </c>
      <c r="G10" s="67" t="s">
        <v>111</v>
      </c>
      <c r="H10" s="67" t="s">
        <v>108</v>
      </c>
      <c r="I10" s="67" t="s">
        <v>109</v>
      </c>
      <c r="J10" s="68" t="s">
        <v>112</v>
      </c>
    </row>
    <row r="11" spans="1:10" ht="15.75" customHeight="1">
      <c r="A11" s="356"/>
      <c r="B11" s="70" t="s">
        <v>113</v>
      </c>
      <c r="C11" s="71"/>
      <c r="D11" s="72" t="s">
        <v>114</v>
      </c>
      <c r="E11" s="72" t="s">
        <v>115</v>
      </c>
      <c r="F11" s="71"/>
      <c r="G11" s="72" t="s">
        <v>114</v>
      </c>
      <c r="H11" s="72" t="s">
        <v>116</v>
      </c>
      <c r="I11" s="71"/>
      <c r="J11" s="73" t="s">
        <v>114</v>
      </c>
    </row>
    <row r="12" spans="1:10" ht="15.75">
      <c r="A12" s="74" t="s">
        <v>117</v>
      </c>
      <c r="B12" s="238">
        <f>Projeções!G28</f>
        <v>37000000</v>
      </c>
      <c r="C12" s="238">
        <f>B12/(1+Parâmetros!E14)</f>
        <v>35430431.86823709</v>
      </c>
      <c r="D12" s="239">
        <f>B12/(Parâmetros!E22)/1000</f>
        <v>0.0001247524666614037</v>
      </c>
      <c r="E12" s="238">
        <f>Projeções!H28</f>
        <v>40000000</v>
      </c>
      <c r="F12" s="238">
        <f>E12/((1+Parâmetros!E14)*(1+Parâmetros!F14))</f>
        <v>36702922.18022551</v>
      </c>
      <c r="G12" s="239">
        <f>E12/(Parâmetros!F22)/1000</f>
        <v>0.00012604405917985374</v>
      </c>
      <c r="H12" s="238">
        <f>Projeções!I28</f>
        <v>44000000</v>
      </c>
      <c r="I12" s="238">
        <f>H12/((1+Parâmetros!E14)*(1+Parâmetros!F14)*(1+Parâmetros!G14))</f>
        <v>38705027.70419717</v>
      </c>
      <c r="J12" s="239">
        <f>H12/(Parâmetros!G22)/1000</f>
        <v>0.00012965238886235533</v>
      </c>
    </row>
    <row r="13" spans="1:10" ht="15.75">
      <c r="A13" s="74" t="s">
        <v>229</v>
      </c>
      <c r="B13" s="238">
        <f>B12-(Projeções!G13+Projeções!G21+Projeções!G22+Projeções!G23)</f>
        <v>36665263.5</v>
      </c>
      <c r="C13" s="238">
        <f>B13/(1+Parâmetros!E14)</f>
        <v>35109895.14507326</v>
      </c>
      <c r="D13" s="239">
        <f>B13/(Parâmetros!E22)/1000</f>
        <v>0.0001236238395247387</v>
      </c>
      <c r="E13" s="238">
        <f>E12-(Projeções!H13+Projeções!H21+Projeções!H22+Projeções!H23)</f>
        <v>39651746</v>
      </c>
      <c r="F13" s="238">
        <f>E13/((1+Parâmetros!E14)*(1+Parâmetros!F14))</f>
        <v>36383373.6937017</v>
      </c>
      <c r="G13" s="239">
        <f>E13/(Parâmetros!F22)/1000</f>
        <v>0.00012494667548521322</v>
      </c>
      <c r="H13" s="238">
        <f>H12-(Projeções!I13+Projeções!I21+Projeções!I22+Projeções!I23)</f>
        <v>43628664.5</v>
      </c>
      <c r="I13" s="238">
        <f>H13/((1+Parâmetros!E14)*(1+Parâmetros!F14)*(1+Parâmetros!G14))</f>
        <v>38378378.8220369</v>
      </c>
      <c r="J13" s="239">
        <f>H13/(Parâmetros!G22)/1000</f>
        <v>0.00012855819489316448</v>
      </c>
    </row>
    <row r="14" spans="1:10" ht="15.75">
      <c r="A14" s="74" t="s">
        <v>118</v>
      </c>
      <c r="B14" s="238">
        <f>Projeções!G44</f>
        <v>37000000</v>
      </c>
      <c r="C14" s="238">
        <f>B14/(1+Parâmetros!E14)</f>
        <v>35430431.86823709</v>
      </c>
      <c r="D14" s="239">
        <f>B14/(Parâmetros!E22)/1000</f>
        <v>0.0001247524666614037</v>
      </c>
      <c r="E14" s="238">
        <f>Projeções!H44</f>
        <v>40000000</v>
      </c>
      <c r="F14" s="238">
        <f>E14/((1+Parâmetros!E14)*(1+Parâmetros!F14))</f>
        <v>36702922.18022551</v>
      </c>
      <c r="G14" s="239">
        <f>E14/(Parâmetros!F22)/1000</f>
        <v>0.00012604405917985374</v>
      </c>
      <c r="H14" s="238">
        <f>Projeções!I44</f>
        <v>44000000</v>
      </c>
      <c r="I14" s="238">
        <f>H14/((1+Parâmetros!E14)*(1+Parâmetros!F14)*(1+Parâmetros!G14))</f>
        <v>38705027.70419717</v>
      </c>
      <c r="J14" s="239">
        <f>H14/(Parâmetros!G22)/1000</f>
        <v>0.00012965238886235533</v>
      </c>
    </row>
    <row r="15" spans="1:10" ht="15.75">
      <c r="A15" s="74" t="s">
        <v>230</v>
      </c>
      <c r="B15" s="238">
        <f>B14-(Projeções!G35+Projeções!G41+Projeções!G42)</f>
        <v>36926000</v>
      </c>
      <c r="C15" s="238">
        <f>B15/(1+Parâmetros!E14)</f>
        <v>35359571.00450062</v>
      </c>
      <c r="D15" s="239">
        <f>B15/(Parâmetros!E22)/1000</f>
        <v>0.00012450296172808088</v>
      </c>
      <c r="E15" s="238">
        <f>E14-(Projeções!H35+Projeções!H41+Projeções!H42)</f>
        <v>39926000</v>
      </c>
      <c r="F15" s="238">
        <f>E15/((1+Parâmetros!E14)*(1+Parâmetros!F14))</f>
        <v>36635021.774192095</v>
      </c>
      <c r="G15" s="239">
        <f>E15/(Parâmetros!F22)/1000</f>
        <v>0.00012581087767037102</v>
      </c>
      <c r="H15" s="238">
        <f>H14-(Projeções!I35+Projeções!I41+Projeções!I42)</f>
        <v>43926000</v>
      </c>
      <c r="I15" s="238">
        <f>H15/((1+Parâmetros!E14)*(1+Parâmetros!F14)*(1+Parâmetros!G14))</f>
        <v>38639932.884876475</v>
      </c>
      <c r="J15" s="239">
        <f>H15/(Parâmetros!G22)/1000</f>
        <v>0.00012943433711745046</v>
      </c>
    </row>
    <row r="16" spans="1:10" ht="15.75">
      <c r="A16" s="74" t="s">
        <v>119</v>
      </c>
      <c r="B16" s="238">
        <f>B13-B15</f>
        <v>-260736.5</v>
      </c>
      <c r="C16" s="238">
        <f>C13-C15</f>
        <v>-249675.85942736268</v>
      </c>
      <c r="D16" s="239">
        <f>B16/(Parâmetros!E22)/1000</f>
        <v>-8.791222033421914E-07</v>
      </c>
      <c r="E16" s="238">
        <f>E13-E15</f>
        <v>-274254</v>
      </c>
      <c r="F16" s="238">
        <f>F13-F15</f>
        <v>-251648.08049039543</v>
      </c>
      <c r="G16" s="239">
        <f>E16/(Parâmetros!F22)/1000</f>
        <v>-8.642021851577903E-07</v>
      </c>
      <c r="H16" s="238">
        <f>H13-H15</f>
        <v>-297335.5</v>
      </c>
      <c r="I16" s="238">
        <f>I13-I15</f>
        <v>-261554.0628395751</v>
      </c>
      <c r="J16" s="239">
        <f>H16/(Parâmetros!G22)/1000</f>
        <v>-8.761422242859739E-07</v>
      </c>
    </row>
    <row r="17" spans="1:10" ht="15.75">
      <c r="A17" s="74" t="s">
        <v>120</v>
      </c>
      <c r="B17" s="238">
        <f>Dívida!F10</f>
        <v>-363999.9999999963</v>
      </c>
      <c r="C17" s="238">
        <f>B17/(1+Parâmetros!E14)</f>
        <v>-348558.8432442749</v>
      </c>
      <c r="D17" s="239">
        <f>B17/(Parâmetros!E22)/1000</f>
        <v>-1.227294536885148E-06</v>
      </c>
      <c r="E17" s="238">
        <f>Dívida!G10</f>
        <v>-394000</v>
      </c>
      <c r="F17" s="238">
        <f>E17/((1+Parâmetros!E14)*(1+Parâmetros!F14))</f>
        <v>-361523.78347522125</v>
      </c>
      <c r="G17" s="239">
        <f>E17/(Parâmetros!F22)/1000</f>
        <v>-1.2415339829215595E-06</v>
      </c>
      <c r="H17" s="238">
        <f>Dívida!H10</f>
        <v>-424000</v>
      </c>
      <c r="I17" s="238">
        <f>H17/((1+Parâmetros!E14)*(1+Parâmetros!F14)*(1+Parâmetros!G14))</f>
        <v>-372975.7215131727</v>
      </c>
      <c r="J17" s="239">
        <f>H17/(Parâmetros!G22)/1000</f>
        <v>-1.2493775654008786E-06</v>
      </c>
    </row>
    <row r="18" spans="1:10" ht="15.75">
      <c r="A18" s="74" t="s">
        <v>121</v>
      </c>
      <c r="B18" s="238">
        <f>Dívida!F7</f>
        <v>41000</v>
      </c>
      <c r="C18" s="238">
        <f>B18/(1+Parâmetros!E14)</f>
        <v>39260.74882696543</v>
      </c>
      <c r="D18" s="239">
        <f>B18/(Parâmetros!E22)/1000</f>
        <v>1.3823921981398786E-07</v>
      </c>
      <c r="E18" s="238">
        <f>Dívida!G7</f>
        <v>17000</v>
      </c>
      <c r="F18" s="238">
        <f>E18/((1+Parâmetros!E14)*(1+Parâmetros!F14))</f>
        <v>15598.741926595842</v>
      </c>
      <c r="G18" s="239">
        <f>E18/(Parâmetros!F22)/1000</f>
        <v>5.356872515143784E-08</v>
      </c>
      <c r="H18" s="238">
        <f>Dívida!H7</f>
        <v>-7000</v>
      </c>
      <c r="I18" s="238">
        <f>H18/((1+Parâmetros!E14)*(1+Parâmetros!F14)*(1+Parâmetros!G14))</f>
        <v>-6157.618043849549</v>
      </c>
      <c r="J18" s="239">
        <f>H18/(Parâmetros!G22)/1000</f>
        <v>-2.0626516409920167E-08</v>
      </c>
    </row>
    <row r="19" spans="1:10" ht="15.75">
      <c r="A19" s="75" t="s">
        <v>122</v>
      </c>
      <c r="B19" s="238">
        <f>Dívida!F9</f>
        <v>-5561798.519999996</v>
      </c>
      <c r="C19" s="238">
        <f>B19/(1+Parâmetros!E14)</f>
        <v>-5325862.798046534</v>
      </c>
      <c r="D19" s="239">
        <f>B19/(Parâmetros!E22)/1000</f>
        <v>-1.8752650930911995E-05</v>
      </c>
      <c r="E19" s="238">
        <f>Dívida!G9</f>
        <v>-5955798.519999996</v>
      </c>
      <c r="F19" s="238">
        <f>E19/((1+Parâmetros!E14)*(1+Parâmetros!F14))</f>
        <v>-5464880.240016553</v>
      </c>
      <c r="G19" s="239">
        <f>E19/(Parâmetros!F22)/1000</f>
        <v>-1.876732552795412E-05</v>
      </c>
      <c r="H19" s="238">
        <f>Dívida!H9</f>
        <v>-6379798.519999996</v>
      </c>
      <c r="I19" s="238">
        <f>H19/((1+Parâmetros!E14)*(1+Parâmetros!F14)*(1+Parâmetros!G14))</f>
        <v>-5612051.783268089</v>
      </c>
      <c r="J19" s="239">
        <f>H19/(Parâmetros!G22)/1000</f>
        <v>-1.879900269496633E-05</v>
      </c>
    </row>
    <row r="20" spans="1:10" ht="12.75">
      <c r="A20" s="350" t="s">
        <v>293</v>
      </c>
      <c r="B20" s="350"/>
      <c r="C20" s="350"/>
      <c r="D20" s="350"/>
      <c r="E20" s="350"/>
      <c r="F20" s="350"/>
      <c r="G20" s="350"/>
      <c r="H20" s="350"/>
      <c r="I20" s="350"/>
      <c r="J20" s="350"/>
    </row>
    <row r="21" ht="12.75">
      <c r="A21" s="311" t="s">
        <v>316</v>
      </c>
    </row>
  </sheetData>
  <sheetProtection/>
  <mergeCells count="14">
    <mergeCell ref="A20:J20"/>
    <mergeCell ref="B7:D7"/>
    <mergeCell ref="E7:G7"/>
    <mergeCell ref="H7:J7"/>
    <mergeCell ref="A8:A11"/>
    <mergeCell ref="B8:D8"/>
    <mergeCell ref="E8:G8"/>
    <mergeCell ref="H8:J8"/>
    <mergeCell ref="A1:J1"/>
    <mergeCell ref="A2:J2"/>
    <mergeCell ref="A3:J3"/>
    <mergeCell ref="A4:J4"/>
    <mergeCell ref="A5:J5"/>
    <mergeCell ref="A6:J6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2"/>
  <dimension ref="A1:G24"/>
  <sheetViews>
    <sheetView zoomScale="90" zoomScaleNormal="90" zoomScalePageLayoutView="0" workbookViewId="0" topLeftCell="A1">
      <selection activeCell="C18" sqref="C18"/>
    </sheetView>
  </sheetViews>
  <sheetFormatPr defaultColWidth="9.140625" defaultRowHeight="12.75"/>
  <cols>
    <col min="1" max="1" width="20.7109375" style="100" customWidth="1"/>
    <col min="2" max="2" width="20.140625" style="100" customWidth="1"/>
    <col min="3" max="3" width="9.7109375" style="100" customWidth="1"/>
    <col min="4" max="4" width="19.421875" style="100" customWidth="1"/>
    <col min="5" max="5" width="9.7109375" style="100" customWidth="1"/>
    <col min="6" max="6" width="15.140625" style="100" customWidth="1"/>
    <col min="7" max="7" width="14.28125" style="100" customWidth="1"/>
    <col min="8" max="16384" width="9.140625" style="100" customWidth="1"/>
  </cols>
  <sheetData>
    <row r="1" spans="1:7" ht="12.75">
      <c r="A1" s="360" t="str">
        <f>DADOS!A3</f>
        <v>MUNICIPIO DE QUILOMBO</v>
      </c>
      <c r="B1" s="361"/>
      <c r="C1" s="361"/>
      <c r="D1" s="361"/>
      <c r="E1" s="361"/>
      <c r="F1" s="361"/>
      <c r="G1" s="362"/>
    </row>
    <row r="2" spans="1:7" ht="12.75">
      <c r="A2" s="363" t="s">
        <v>48</v>
      </c>
      <c r="B2" s="361"/>
      <c r="C2" s="361"/>
      <c r="D2" s="361"/>
      <c r="E2" s="361"/>
      <c r="F2" s="361"/>
      <c r="G2" s="362"/>
    </row>
    <row r="3" spans="1:7" ht="12.75">
      <c r="A3" s="363" t="s">
        <v>231</v>
      </c>
      <c r="B3" s="361"/>
      <c r="C3" s="361"/>
      <c r="D3" s="361"/>
      <c r="E3" s="361"/>
      <c r="F3" s="361"/>
      <c r="G3" s="362"/>
    </row>
    <row r="4" spans="1:7" ht="12.75">
      <c r="A4" s="364" t="s">
        <v>232</v>
      </c>
      <c r="B4" s="365"/>
      <c r="C4" s="365"/>
      <c r="D4" s="365"/>
      <c r="E4" s="365"/>
      <c r="F4" s="365"/>
      <c r="G4" s="366"/>
    </row>
    <row r="5" spans="1:7" ht="12.75">
      <c r="A5" s="363" t="str">
        <f>DADOS!A17</f>
        <v>Exercício de 2019</v>
      </c>
      <c r="B5" s="361"/>
      <c r="C5" s="361"/>
      <c r="D5" s="361"/>
      <c r="E5" s="361"/>
      <c r="F5" s="361"/>
      <c r="G5" s="362"/>
    </row>
    <row r="6" spans="1:7" ht="12.75">
      <c r="A6" s="363"/>
      <c r="B6" s="361"/>
      <c r="C6" s="361"/>
      <c r="D6" s="361"/>
      <c r="E6" s="361"/>
      <c r="F6" s="361"/>
      <c r="G6" s="362"/>
    </row>
    <row r="7" spans="1:7" ht="12.75" customHeight="1">
      <c r="A7" s="101" t="s">
        <v>123</v>
      </c>
      <c r="B7" s="102"/>
      <c r="C7" s="102"/>
      <c r="D7" s="102"/>
      <c r="E7" s="102"/>
      <c r="F7" s="368">
        <v>1</v>
      </c>
      <c r="G7" s="369"/>
    </row>
    <row r="8" spans="1:7" ht="10.5" customHeight="1">
      <c r="A8" s="370" t="s">
        <v>105</v>
      </c>
      <c r="B8" s="373" t="s">
        <v>212</v>
      </c>
      <c r="C8" s="373" t="s">
        <v>107</v>
      </c>
      <c r="D8" s="373" t="s">
        <v>213</v>
      </c>
      <c r="E8" s="373" t="s">
        <v>107</v>
      </c>
      <c r="F8" s="375" t="s">
        <v>124</v>
      </c>
      <c r="G8" s="376"/>
    </row>
    <row r="9" spans="1:7" ht="12.75" customHeight="1">
      <c r="A9" s="371"/>
      <c r="B9" s="374"/>
      <c r="C9" s="374"/>
      <c r="D9" s="374"/>
      <c r="E9" s="374"/>
      <c r="F9" s="377"/>
      <c r="G9" s="378"/>
    </row>
    <row r="10" spans="1:7" ht="22.5" customHeight="1">
      <c r="A10" s="372"/>
      <c r="B10" s="104">
        <f>DADOS!E32-2</f>
        <v>2017</v>
      </c>
      <c r="C10" s="104"/>
      <c r="D10" s="104">
        <f>B10</f>
        <v>2017</v>
      </c>
      <c r="E10" s="104"/>
      <c r="F10" s="105" t="s">
        <v>221</v>
      </c>
      <c r="G10" s="103" t="s">
        <v>125</v>
      </c>
    </row>
    <row r="11" spans="1:7" ht="15">
      <c r="A11" s="106" t="s">
        <v>54</v>
      </c>
      <c r="B11" s="240">
        <f>Plano!E42</f>
        <v>32705000</v>
      </c>
      <c r="C11" s="241">
        <f>B11/(Parâmetros!C22)/1000</f>
        <v>0.00012360396866662636</v>
      </c>
      <c r="D11" s="242">
        <f>Plano!E22</f>
        <v>31325068.89</v>
      </c>
      <c r="E11" s="241">
        <f>D11/(Parâmetros!E22)/1000</f>
        <v>0.00010561836790178104</v>
      </c>
      <c r="F11" s="243">
        <f aca="true" t="shared" si="0" ref="F11:F18">D11-B11</f>
        <v>-1379931.1099999994</v>
      </c>
      <c r="G11" s="244">
        <f aca="true" t="shared" si="1" ref="G11:G18">(F11/B11)</f>
        <v>-0.042193276563216614</v>
      </c>
    </row>
    <row r="12" spans="1:7" ht="15">
      <c r="A12" s="106" t="s">
        <v>233</v>
      </c>
      <c r="B12" s="240">
        <f>B11-(Plano!E43+Plano!E44+Plano!E45+Plano!E46)</f>
        <v>32295050</v>
      </c>
      <c r="C12" s="241">
        <f>B12/(Parâmetros!C22)/1000</f>
        <v>0.00012205462003629819</v>
      </c>
      <c r="D12" s="242">
        <f>D11-(Plano!E7+Plano!E15+Plano!E16+Plano!E17)</f>
        <v>31005245.38</v>
      </c>
      <c r="E12" s="241">
        <f>D12/(Parâmetros!E22)/1000</f>
        <v>0.00010454002271884029</v>
      </c>
      <c r="F12" s="243">
        <f t="shared" si="0"/>
        <v>-1289804.620000001</v>
      </c>
      <c r="G12" s="244">
        <f t="shared" si="1"/>
        <v>-0.03993815213167346</v>
      </c>
    </row>
    <row r="13" spans="1:7" ht="15">
      <c r="A13" s="106" t="s">
        <v>55</v>
      </c>
      <c r="B13" s="240">
        <f>Plano!E47</f>
        <v>32705000</v>
      </c>
      <c r="C13" s="241">
        <f>B13/(Parâmetros!C22)/1000</f>
        <v>0.00012360396866662636</v>
      </c>
      <c r="D13" s="242">
        <f>Plano!E39</f>
        <v>28762129.910000004</v>
      </c>
      <c r="E13" s="241">
        <f>D13/(Parâmetros!E22)/1000</f>
        <v>9.697693655968209E-05</v>
      </c>
      <c r="F13" s="243">
        <f t="shared" si="0"/>
        <v>-3942870.089999996</v>
      </c>
      <c r="G13" s="244">
        <f t="shared" si="1"/>
        <v>-0.12055863293074441</v>
      </c>
    </row>
    <row r="14" spans="1:7" ht="15">
      <c r="A14" s="106" t="s">
        <v>234</v>
      </c>
      <c r="B14" s="240">
        <f>B13-(Plano!E48+Plano!E49+Plano!E50)</f>
        <v>32620000</v>
      </c>
      <c r="C14" s="241">
        <f>B14/(Parâmetros!C22)/1000</f>
        <v>0.000123282723066973</v>
      </c>
      <c r="D14" s="242">
        <f>D13-(Plano!E28+Plano!E33+Plano!E35)</f>
        <v>28743190.940000005</v>
      </c>
      <c r="E14" s="241">
        <f>D14/(Parâmetros!E22)/1000</f>
        <v>9.691308025634355E-05</v>
      </c>
      <c r="F14" s="243">
        <f t="shared" si="0"/>
        <v>-3876809.059999995</v>
      </c>
      <c r="G14" s="244">
        <f t="shared" si="1"/>
        <v>-0.1188476106683015</v>
      </c>
    </row>
    <row r="15" spans="1:7" ht="15">
      <c r="A15" s="106" t="s">
        <v>126</v>
      </c>
      <c r="B15" s="240">
        <f>B12-B14</f>
        <v>-324950</v>
      </c>
      <c r="C15" s="241">
        <f>B15/(Parâmetros!C22)/1000</f>
        <v>-1.2281030306748277E-06</v>
      </c>
      <c r="D15" s="242">
        <f>D12-D14</f>
        <v>2262054.439999994</v>
      </c>
      <c r="E15" s="241">
        <f>D15/(Parâmetros!E22)/1000</f>
        <v>7.626942462496741E-06</v>
      </c>
      <c r="F15" s="243">
        <f t="shared" si="0"/>
        <v>2587004.439999994</v>
      </c>
      <c r="G15" s="244">
        <f t="shared" si="1"/>
        <v>-7.961238467456513</v>
      </c>
    </row>
    <row r="16" spans="1:7" ht="15">
      <c r="A16" s="106" t="s">
        <v>49</v>
      </c>
      <c r="B16" s="109">
        <f>Dívida!D10</f>
        <v>-3430085.0900000003</v>
      </c>
      <c r="C16" s="107">
        <f>B16/(Parâmetros!C22)/1000</f>
        <v>-1.2963526371754238E-05</v>
      </c>
      <c r="D16" s="242">
        <f>Dívida!D10</f>
        <v>-3430085.0900000003</v>
      </c>
      <c r="E16" s="241">
        <f>D16/(Parâmetros!E22)/1000</f>
        <v>-1.1565177725297375E-05</v>
      </c>
      <c r="F16" s="243">
        <f t="shared" si="0"/>
        <v>0</v>
      </c>
      <c r="G16" s="244">
        <f t="shared" si="1"/>
        <v>0</v>
      </c>
    </row>
    <row r="17" spans="1:7" ht="15">
      <c r="A17" s="106" t="s">
        <v>127</v>
      </c>
      <c r="B17" s="109">
        <f>Dívida!D7</f>
        <v>30980.52</v>
      </c>
      <c r="C17" s="107">
        <f>B17/(Parâmetros!C22)/1000</f>
        <v>1.1708653794085894E-07</v>
      </c>
      <c r="D17" s="242">
        <f>Dívida!D7</f>
        <v>30980.52</v>
      </c>
      <c r="E17" s="241">
        <f>D17/(Parâmetros!E22)/1000</f>
        <v>1.0445665644467433E-07</v>
      </c>
      <c r="F17" s="243">
        <f t="shared" si="0"/>
        <v>0</v>
      </c>
      <c r="G17" s="244">
        <f t="shared" si="1"/>
        <v>0</v>
      </c>
    </row>
    <row r="18" spans="1:7" ht="15">
      <c r="A18" s="108" t="s">
        <v>128</v>
      </c>
      <c r="B18" s="109">
        <f>Dívida!D9</f>
        <v>-5695059.19</v>
      </c>
      <c r="C18" s="107">
        <f>B18/(Parâmetros!C22)/1000</f>
        <v>-2.152367887709349E-05</v>
      </c>
      <c r="D18" s="242">
        <f>Dívida!D9</f>
        <v>-5695059.19</v>
      </c>
      <c r="E18" s="241">
        <f>D18/(Parâmetros!E22)/1000</f>
        <v>-1.9201964371221508E-05</v>
      </c>
      <c r="F18" s="243">
        <f t="shared" si="0"/>
        <v>0</v>
      </c>
      <c r="G18" s="244">
        <f t="shared" si="1"/>
        <v>0</v>
      </c>
    </row>
    <row r="19" spans="1:7" ht="12.75">
      <c r="A19" s="367"/>
      <c r="B19" s="367"/>
      <c r="C19" s="367"/>
      <c r="D19" s="367"/>
      <c r="E19" s="367"/>
      <c r="F19" s="367"/>
      <c r="G19" s="367"/>
    </row>
    <row r="21" ht="12.75">
      <c r="A21" s="100" t="s">
        <v>270</v>
      </c>
    </row>
    <row r="22" ht="12.75">
      <c r="A22" s="100" t="s">
        <v>294</v>
      </c>
    </row>
    <row r="23" ht="12.75">
      <c r="A23" s="100" t="s">
        <v>295</v>
      </c>
    </row>
    <row r="24" ht="12.75">
      <c r="A24" s="310" t="s">
        <v>316</v>
      </c>
    </row>
  </sheetData>
  <sheetProtection/>
  <mergeCells count="14">
    <mergeCell ref="A19:G19"/>
    <mergeCell ref="F7:G7"/>
    <mergeCell ref="A8:A10"/>
    <mergeCell ref="B8:B9"/>
    <mergeCell ref="C8:C9"/>
    <mergeCell ref="D8:D9"/>
    <mergeCell ref="E8:E9"/>
    <mergeCell ref="F8:G9"/>
    <mergeCell ref="A1:G1"/>
    <mergeCell ref="A2:G2"/>
    <mergeCell ref="A3:G3"/>
    <mergeCell ref="A4:G4"/>
    <mergeCell ref="A5:G5"/>
    <mergeCell ref="A6:G6"/>
  </mergeCells>
  <hyperlinks>
    <hyperlink ref="A24" location="DADOS!A1" display="DADOS!A1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3"/>
  <dimension ref="A1:L35"/>
  <sheetViews>
    <sheetView zoomScale="85" zoomScaleNormal="85" zoomScalePageLayoutView="0" workbookViewId="0" topLeftCell="A1">
      <selection activeCell="G14" sqref="G14"/>
    </sheetView>
  </sheetViews>
  <sheetFormatPr defaultColWidth="9.140625" defaultRowHeight="12.75"/>
  <cols>
    <col min="1" max="1" width="25.28125" style="283" customWidth="1"/>
    <col min="2" max="2" width="11.28125" style="283" customWidth="1"/>
    <col min="3" max="3" width="10.28125" style="283" bestFit="1" customWidth="1"/>
    <col min="4" max="4" width="9.140625" style="283" bestFit="1" customWidth="1"/>
    <col min="5" max="5" width="9.57421875" style="283" customWidth="1"/>
    <col min="6" max="6" width="9.140625" style="283" bestFit="1" customWidth="1"/>
    <col min="7" max="7" width="10.57421875" style="283" bestFit="1" customWidth="1"/>
    <col min="8" max="8" width="10.7109375" style="283" bestFit="1" customWidth="1"/>
    <col min="9" max="9" width="10.57421875" style="283" bestFit="1" customWidth="1"/>
    <col min="10" max="10" width="10.7109375" style="283" bestFit="1" customWidth="1"/>
    <col min="11" max="11" width="10.57421875" style="283" bestFit="1" customWidth="1"/>
    <col min="12" max="12" width="9.7109375" style="283" customWidth="1"/>
    <col min="13" max="16384" width="9.140625" style="283" customWidth="1"/>
  </cols>
  <sheetData>
    <row r="1" spans="1:12" ht="12.75" customHeight="1">
      <c r="A1" s="360" t="str">
        <f>DADOS!A3</f>
        <v>MUNICIPIO DE QUILOMBO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2"/>
    </row>
    <row r="2" spans="1:12" ht="11.25">
      <c r="A2" s="363" t="s">
        <v>48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2"/>
    </row>
    <row r="3" spans="1:12" ht="11.25">
      <c r="A3" s="363" t="s">
        <v>231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2"/>
    </row>
    <row r="4" spans="1:12" ht="11.25">
      <c r="A4" s="364" t="s">
        <v>235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6"/>
    </row>
    <row r="5" spans="1:12" ht="11.25">
      <c r="A5" s="363" t="str">
        <f>DADOS!A17</f>
        <v>Exercício de 2019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2"/>
    </row>
    <row r="6" spans="1:12" ht="11.25">
      <c r="A6" s="363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2"/>
    </row>
    <row r="7" spans="1:12" ht="11.25">
      <c r="A7" s="284" t="s">
        <v>129</v>
      </c>
      <c r="B7" s="284" t="s">
        <v>130</v>
      </c>
      <c r="C7" s="284"/>
      <c r="D7" s="284"/>
      <c r="E7" s="284"/>
      <c r="F7" s="284"/>
      <c r="G7" s="284"/>
      <c r="H7" s="284"/>
      <c r="I7" s="284"/>
      <c r="J7" s="284"/>
      <c r="K7" s="284"/>
      <c r="L7" s="285">
        <v>1</v>
      </c>
    </row>
    <row r="8" spans="1:12" ht="15.75" customHeight="1">
      <c r="A8" s="286" t="s">
        <v>105</v>
      </c>
      <c r="B8" s="379" t="s">
        <v>131</v>
      </c>
      <c r="C8" s="380"/>
      <c r="D8" s="380"/>
      <c r="E8" s="380"/>
      <c r="F8" s="380"/>
      <c r="G8" s="380"/>
      <c r="H8" s="380"/>
      <c r="I8" s="380"/>
      <c r="J8" s="380"/>
      <c r="K8" s="380"/>
      <c r="L8" s="380"/>
    </row>
    <row r="9" spans="1:12" s="287" customFormat="1" ht="15.75" customHeight="1">
      <c r="A9" s="381"/>
      <c r="B9" s="383">
        <f>DADOS!E32-4</f>
        <v>2015</v>
      </c>
      <c r="C9" s="383">
        <f>B9+1</f>
        <v>2016</v>
      </c>
      <c r="D9" s="383" t="s">
        <v>223</v>
      </c>
      <c r="E9" s="383">
        <f>C9+1</f>
        <v>2017</v>
      </c>
      <c r="F9" s="383" t="s">
        <v>223</v>
      </c>
      <c r="G9" s="373">
        <f>E9+1</f>
        <v>2018</v>
      </c>
      <c r="H9" s="373" t="s">
        <v>223</v>
      </c>
      <c r="I9" s="373">
        <f>G9+1</f>
        <v>2019</v>
      </c>
      <c r="J9" s="373" t="s">
        <v>224</v>
      </c>
      <c r="K9" s="373">
        <f>I9+1</f>
        <v>2020</v>
      </c>
      <c r="L9" s="375" t="s">
        <v>223</v>
      </c>
    </row>
    <row r="10" spans="1:12" s="287" customFormat="1" ht="15.75" customHeight="1">
      <c r="A10" s="382"/>
      <c r="B10" s="384"/>
      <c r="C10" s="384"/>
      <c r="D10" s="384"/>
      <c r="E10" s="384"/>
      <c r="F10" s="384"/>
      <c r="G10" s="385"/>
      <c r="H10" s="385"/>
      <c r="I10" s="385"/>
      <c r="J10" s="385"/>
      <c r="K10" s="385"/>
      <c r="L10" s="377"/>
    </row>
    <row r="11" spans="1:12" ht="11.25">
      <c r="A11" s="288" t="s">
        <v>132</v>
      </c>
      <c r="B11" s="289">
        <f>Plano!D42</f>
        <v>29880000</v>
      </c>
      <c r="C11" s="289">
        <f>Plano!E42</f>
        <v>32705000</v>
      </c>
      <c r="D11" s="290">
        <f aca="true" t="shared" si="0" ref="D11:D18">(C11/B11)-1</f>
        <v>0.09454484605087021</v>
      </c>
      <c r="E11" s="289">
        <f>Plano!F42</f>
        <v>34000000</v>
      </c>
      <c r="F11" s="290">
        <f aca="true" t="shared" si="1" ref="F11:F18">(E11/C11)-1</f>
        <v>0.03959639198899256</v>
      </c>
      <c r="G11" s="291">
        <f>Metas!B12</f>
        <v>37000000</v>
      </c>
      <c r="H11" s="292">
        <f aca="true" t="shared" si="2" ref="H11:H18">(G11/E11)-1</f>
        <v>0.08823529411764697</v>
      </c>
      <c r="I11" s="291">
        <f>Metas!E12</f>
        <v>40000000</v>
      </c>
      <c r="J11" s="292">
        <f aca="true" t="shared" si="3" ref="J11:J18">(I11/G11)-1</f>
        <v>0.08108108108108114</v>
      </c>
      <c r="K11" s="291">
        <f>Metas!H12</f>
        <v>44000000</v>
      </c>
      <c r="L11" s="292">
        <f aca="true" t="shared" si="4" ref="L11:L17">(K11/I11)-1</f>
        <v>0.10000000000000009</v>
      </c>
    </row>
    <row r="12" spans="1:12" ht="11.25">
      <c r="A12" s="288" t="s">
        <v>238</v>
      </c>
      <c r="B12" s="289">
        <f>B11-(Plano!D43+Plano!D44+Plano!D45+Plano!D46)</f>
        <v>29359191.42</v>
      </c>
      <c r="C12" s="289">
        <f>C11-(Plano!E43+Plano!E44+Plano!E45+Plano!E46)</f>
        <v>32295050</v>
      </c>
      <c r="D12" s="290">
        <f t="shared" si="0"/>
        <v>0.09999793720477057</v>
      </c>
      <c r="E12" s="289">
        <f>E11-(Plano!F43+Plano!F44+Plano!F45+Plano!F46)</f>
        <v>33575050</v>
      </c>
      <c r="F12" s="290">
        <f t="shared" si="1"/>
        <v>0.03963455699867313</v>
      </c>
      <c r="G12" s="293">
        <f>Metas!B13</f>
        <v>36665263.5</v>
      </c>
      <c r="H12" s="292">
        <f t="shared" si="2"/>
        <v>0.09203898430530999</v>
      </c>
      <c r="I12" s="293">
        <f>Metas!E13</f>
        <v>39651746</v>
      </c>
      <c r="J12" s="292">
        <f t="shared" si="3"/>
        <v>0.08145263977170103</v>
      </c>
      <c r="K12" s="293">
        <f>Metas!H13</f>
        <v>43628664.5</v>
      </c>
      <c r="L12" s="292">
        <f t="shared" si="4"/>
        <v>0.10029617611290065</v>
      </c>
    </row>
    <row r="13" spans="1:12" ht="11.25">
      <c r="A13" s="288" t="s">
        <v>133</v>
      </c>
      <c r="B13" s="289">
        <f>Plano!D47</f>
        <v>29880000</v>
      </c>
      <c r="C13" s="289">
        <f>Plano!E47</f>
        <v>32705000</v>
      </c>
      <c r="D13" s="290">
        <f t="shared" si="0"/>
        <v>0.09454484605087021</v>
      </c>
      <c r="E13" s="289">
        <f>Plano!F47</f>
        <v>34000000</v>
      </c>
      <c r="F13" s="290">
        <f t="shared" si="1"/>
        <v>0.03959639198899256</v>
      </c>
      <c r="G13" s="293">
        <f>Metas!B14</f>
        <v>37000000</v>
      </c>
      <c r="H13" s="292">
        <f t="shared" si="2"/>
        <v>0.08823529411764697</v>
      </c>
      <c r="I13" s="293">
        <f>Metas!E14</f>
        <v>40000000</v>
      </c>
      <c r="J13" s="292">
        <f t="shared" si="3"/>
        <v>0.08108108108108114</v>
      </c>
      <c r="K13" s="293">
        <f>Metas!H14</f>
        <v>44000000</v>
      </c>
      <c r="L13" s="292">
        <f t="shared" si="4"/>
        <v>0.10000000000000009</v>
      </c>
    </row>
    <row r="14" spans="1:12" ht="11.25">
      <c r="A14" s="288" t="s">
        <v>230</v>
      </c>
      <c r="B14" s="289">
        <f>B13-(Plano!D48+Plano!D49+Plano!D50)</f>
        <v>29549949.83</v>
      </c>
      <c r="C14" s="289">
        <f>C13-(Plano!E48+Plano!E49+Plano!E50)</f>
        <v>32620000</v>
      </c>
      <c r="D14" s="290">
        <f t="shared" si="0"/>
        <v>0.10389358315875019</v>
      </c>
      <c r="E14" s="289">
        <f>E13-(Plano!F48+Plano!F49+Plano!F50)</f>
        <v>33915000</v>
      </c>
      <c r="F14" s="290">
        <f t="shared" si="1"/>
        <v>0.03969957081545061</v>
      </c>
      <c r="G14" s="293">
        <f>Metas!B15</f>
        <v>36926000</v>
      </c>
      <c r="H14" s="292">
        <f t="shared" si="2"/>
        <v>0.08878077546808205</v>
      </c>
      <c r="I14" s="293">
        <f>Metas!E15</f>
        <v>39926000</v>
      </c>
      <c r="J14" s="292">
        <f t="shared" si="3"/>
        <v>0.0812435682175161</v>
      </c>
      <c r="K14" s="293">
        <f>Metas!H15</f>
        <v>43926000</v>
      </c>
      <c r="L14" s="292">
        <f t="shared" si="4"/>
        <v>0.100185342884336</v>
      </c>
    </row>
    <row r="15" spans="1:12" ht="11.25">
      <c r="A15" s="288" t="s">
        <v>134</v>
      </c>
      <c r="B15" s="289">
        <f>B12-B14</f>
        <v>-190758.40999999642</v>
      </c>
      <c r="C15" s="289">
        <f>C12-C14</f>
        <v>-324950</v>
      </c>
      <c r="D15" s="290">
        <f t="shared" si="0"/>
        <v>0.7034635589592411</v>
      </c>
      <c r="E15" s="289">
        <f>E12-E14</f>
        <v>-339950</v>
      </c>
      <c r="F15" s="290">
        <f t="shared" si="1"/>
        <v>0.04616094783812885</v>
      </c>
      <c r="G15" s="293">
        <f>Metas!B16</f>
        <v>-260736.5</v>
      </c>
      <c r="H15" s="292">
        <f t="shared" si="2"/>
        <v>-0.23301514928665978</v>
      </c>
      <c r="I15" s="293">
        <f>Metas!E16</f>
        <v>-274254</v>
      </c>
      <c r="J15" s="292">
        <f t="shared" si="3"/>
        <v>0.051843527852832194</v>
      </c>
      <c r="K15" s="293">
        <f>Metas!H16</f>
        <v>-297335.5</v>
      </c>
      <c r="L15" s="292">
        <f t="shared" si="4"/>
        <v>0.08416103320279733</v>
      </c>
    </row>
    <row r="16" spans="1:12" ht="11.25">
      <c r="A16" s="288" t="s">
        <v>135</v>
      </c>
      <c r="B16" s="294">
        <f>C16</f>
        <v>-3430085.0900000003</v>
      </c>
      <c r="C16" s="294">
        <f>Dívida!D10</f>
        <v>-3430085.0900000003</v>
      </c>
      <c r="D16" s="290">
        <f t="shared" si="0"/>
        <v>0</v>
      </c>
      <c r="E16" s="294">
        <f>Dívida!E10</f>
        <v>497260.67000000086</v>
      </c>
      <c r="F16" s="290">
        <f t="shared" si="1"/>
        <v>-1.1449703599043954</v>
      </c>
      <c r="G16" s="293">
        <f>Metas!B17</f>
        <v>-363999.9999999963</v>
      </c>
      <c r="H16" s="292">
        <f t="shared" si="2"/>
        <v>-1.7320104362969138</v>
      </c>
      <c r="I16" s="293">
        <f>Metas!E17</f>
        <v>-394000</v>
      </c>
      <c r="J16" s="292">
        <f t="shared" si="3"/>
        <v>0.08241758241759345</v>
      </c>
      <c r="K16" s="289">
        <f>Metas!H17</f>
        <v>-424000</v>
      </c>
      <c r="L16" s="292">
        <f t="shared" si="4"/>
        <v>0.07614213197969533</v>
      </c>
    </row>
    <row r="17" spans="1:12" ht="11.25">
      <c r="A17" s="288" t="s">
        <v>136</v>
      </c>
      <c r="B17" s="294">
        <f>Dívida!C7</f>
        <v>48592.19</v>
      </c>
      <c r="C17" s="294">
        <f>Dívida!D7</f>
        <v>30980.52</v>
      </c>
      <c r="D17" s="290">
        <f t="shared" si="0"/>
        <v>-0.3624382848354849</v>
      </c>
      <c r="E17" s="294">
        <f>Dívida!E7</f>
        <v>65000</v>
      </c>
      <c r="F17" s="290">
        <f t="shared" si="1"/>
        <v>1.0980926078710107</v>
      </c>
      <c r="G17" s="293">
        <f>Metas!B18</f>
        <v>41000</v>
      </c>
      <c r="H17" s="292">
        <f t="shared" si="2"/>
        <v>-0.36923076923076925</v>
      </c>
      <c r="I17" s="293">
        <f>Metas!E18</f>
        <v>17000</v>
      </c>
      <c r="J17" s="292">
        <f t="shared" si="3"/>
        <v>-0.5853658536585367</v>
      </c>
      <c r="K17" s="289">
        <f>Metas!H18</f>
        <v>-7000</v>
      </c>
      <c r="L17" s="292">
        <f t="shared" si="4"/>
        <v>-1.4117647058823528</v>
      </c>
    </row>
    <row r="18" spans="1:12" ht="11.25">
      <c r="A18" s="295" t="s">
        <v>128</v>
      </c>
      <c r="B18" s="296">
        <f>Dívida!C9</f>
        <v>-2264974.1</v>
      </c>
      <c r="C18" s="296">
        <f>Dívida!D9</f>
        <v>-5695059.19</v>
      </c>
      <c r="D18" s="290">
        <f t="shared" si="0"/>
        <v>1.514403670222984</v>
      </c>
      <c r="E18" s="296">
        <f>Dívida!E9</f>
        <v>-5197798.52</v>
      </c>
      <c r="F18" s="290">
        <f t="shared" si="1"/>
        <v>-0.08731439892198922</v>
      </c>
      <c r="G18" s="297">
        <f>Metas!B19</f>
        <v>-5561798.519999996</v>
      </c>
      <c r="H18" s="292">
        <f t="shared" si="2"/>
        <v>0.07002964785945509</v>
      </c>
      <c r="I18" s="297">
        <f>Metas!E19</f>
        <v>-5955798.519999996</v>
      </c>
      <c r="J18" s="292">
        <f t="shared" si="3"/>
        <v>0.07084039426872302</v>
      </c>
      <c r="K18" s="298">
        <f>Metas!H19</f>
        <v>-6379798.519999996</v>
      </c>
      <c r="L18" s="292">
        <f>K18/I18</f>
        <v>1.0711911255184636</v>
      </c>
    </row>
    <row r="19" spans="1:12" ht="11.25">
      <c r="A19" s="380"/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</row>
    <row r="20" spans="1:12" ht="15.75" customHeight="1">
      <c r="A20" s="299" t="s">
        <v>105</v>
      </c>
      <c r="B20" s="379" t="s">
        <v>137</v>
      </c>
      <c r="C20" s="380"/>
      <c r="D20" s="380"/>
      <c r="E20" s="380"/>
      <c r="F20" s="380"/>
      <c r="G20" s="380"/>
      <c r="H20" s="380"/>
      <c r="I20" s="380"/>
      <c r="J20" s="380"/>
      <c r="K20" s="380"/>
      <c r="L20" s="380"/>
    </row>
    <row r="21" spans="1:12" s="287" customFormat="1" ht="15.75" customHeight="1">
      <c r="A21" s="381"/>
      <c r="B21" s="383">
        <f>B9</f>
        <v>2015</v>
      </c>
      <c r="C21" s="383">
        <f>C9</f>
        <v>2016</v>
      </c>
      <c r="D21" s="383" t="s">
        <v>223</v>
      </c>
      <c r="E21" s="383">
        <f>E9</f>
        <v>2017</v>
      </c>
      <c r="F21" s="373" t="s">
        <v>223</v>
      </c>
      <c r="G21" s="383">
        <f>G9</f>
        <v>2018</v>
      </c>
      <c r="H21" s="373" t="s">
        <v>223</v>
      </c>
      <c r="I21" s="383">
        <f>I9</f>
        <v>2019</v>
      </c>
      <c r="J21" s="373" t="s">
        <v>223</v>
      </c>
      <c r="K21" s="383">
        <f>K9</f>
        <v>2020</v>
      </c>
      <c r="L21" s="375" t="s">
        <v>223</v>
      </c>
    </row>
    <row r="22" spans="1:12" s="287" customFormat="1" ht="15.75" customHeight="1">
      <c r="A22" s="382"/>
      <c r="B22" s="384"/>
      <c r="C22" s="384"/>
      <c r="D22" s="384"/>
      <c r="E22" s="384"/>
      <c r="F22" s="385"/>
      <c r="G22" s="384"/>
      <c r="H22" s="385"/>
      <c r="I22" s="384"/>
      <c r="J22" s="385"/>
      <c r="K22" s="384"/>
      <c r="L22" s="377"/>
    </row>
    <row r="23" spans="1:12" ht="11.25">
      <c r="A23" s="288" t="s">
        <v>132</v>
      </c>
      <c r="B23" s="291">
        <f>B11*((1+Parâmetros!C14)*(1+Parâmetros!D14))</f>
        <v>33134636.271599993</v>
      </c>
      <c r="C23" s="289">
        <f>C11*(1+Parâmetros!D14)</f>
        <v>34121126.5</v>
      </c>
      <c r="D23" s="290">
        <f aca="true" t="shared" si="5" ref="D23:D30">(C23/B23)-1</f>
        <v>0.029772176169790443</v>
      </c>
      <c r="E23" s="289">
        <f>E11</f>
        <v>34000000</v>
      </c>
      <c r="F23" s="290">
        <f aca="true" t="shared" si="6" ref="F23:F30">(E23/C23)-1</f>
        <v>-0.0035498974513634707</v>
      </c>
      <c r="G23" s="291">
        <f>Metas!C12</f>
        <v>35430431.86823709</v>
      </c>
      <c r="H23" s="290">
        <f aca="true" t="shared" si="7" ref="H23:H30">(G23/E23)-1</f>
        <v>0.042071525536385046</v>
      </c>
      <c r="I23" s="291">
        <f>Metas!F12</f>
        <v>36702922.18022551</v>
      </c>
      <c r="J23" s="290">
        <f aca="true" t="shared" si="8" ref="J23:J30">(I23/G23)-1</f>
        <v>0.035915179265121555</v>
      </c>
      <c r="K23" s="291">
        <f>Metas!I12</f>
        <v>38705027.70419717</v>
      </c>
      <c r="L23" s="290">
        <f aca="true" t="shared" si="9" ref="L23:L30">(K23/I23)-1</f>
        <v>0.054548940657655365</v>
      </c>
    </row>
    <row r="24" spans="1:12" ht="11.25">
      <c r="A24" s="288" t="s">
        <v>238</v>
      </c>
      <c r="B24" s="291">
        <f>B12*((1+Parâmetros!C14)*(1+Parâmetros!D14))</f>
        <v>32557099.361779764</v>
      </c>
      <c r="C24" s="289">
        <f>C12*(1+Parâmetros!D14)</f>
        <v>33693425.665</v>
      </c>
      <c r="D24" s="290">
        <f t="shared" si="5"/>
        <v>0.034902565815006836</v>
      </c>
      <c r="E24" s="289">
        <f>E12</f>
        <v>33575050</v>
      </c>
      <c r="F24" s="290">
        <f t="shared" si="6"/>
        <v>-0.0035133164011567075</v>
      </c>
      <c r="G24" s="293">
        <f>Metas!C13</f>
        <v>35109895.14507326</v>
      </c>
      <c r="H24" s="290">
        <f t="shared" si="7"/>
        <v>0.04571386029427371</v>
      </c>
      <c r="I24" s="293">
        <f>Metas!F13</f>
        <v>36383373.6937017</v>
      </c>
      <c r="J24" s="290">
        <f t="shared" si="8"/>
        <v>0.03627121480615236</v>
      </c>
      <c r="K24" s="293">
        <f>Metas!I13</f>
        <v>38378378.8220369</v>
      </c>
      <c r="L24" s="290">
        <f t="shared" si="9"/>
        <v>0.05483287902684397</v>
      </c>
    </row>
    <row r="25" spans="1:12" ht="11.25">
      <c r="A25" s="288" t="s">
        <v>133</v>
      </c>
      <c r="B25" s="291">
        <f>B13*((1+Parâmetros!C14)*(1+Parâmetros!D14))</f>
        <v>33134636.271599993</v>
      </c>
      <c r="C25" s="289">
        <f>C13*(1+Parâmetros!D14)</f>
        <v>34121126.5</v>
      </c>
      <c r="D25" s="290">
        <f t="shared" si="5"/>
        <v>0.029772176169790443</v>
      </c>
      <c r="E25" s="289">
        <f>E13</f>
        <v>34000000</v>
      </c>
      <c r="F25" s="290">
        <f t="shared" si="6"/>
        <v>-0.0035498974513634707</v>
      </c>
      <c r="G25" s="293">
        <f>Metas!C14</f>
        <v>35430431.86823709</v>
      </c>
      <c r="H25" s="290">
        <f t="shared" si="7"/>
        <v>0.042071525536385046</v>
      </c>
      <c r="I25" s="293">
        <f>Metas!F14</f>
        <v>36702922.18022551</v>
      </c>
      <c r="J25" s="290">
        <f t="shared" si="8"/>
        <v>0.035915179265121555</v>
      </c>
      <c r="K25" s="293">
        <f>Metas!I14</f>
        <v>38705027.70419717</v>
      </c>
      <c r="L25" s="290">
        <f t="shared" si="9"/>
        <v>0.054548940657655365</v>
      </c>
    </row>
    <row r="26" spans="1:12" ht="11.25">
      <c r="A26" s="288" t="s">
        <v>230</v>
      </c>
      <c r="B26" s="291">
        <f>B14*((1+Parâmetros!C14)*(1+Parâmetros!D14))</f>
        <v>32768635.858804483</v>
      </c>
      <c r="C26" s="289">
        <f>C14*(1+Parâmetros!D14)</f>
        <v>34032446</v>
      </c>
      <c r="D26" s="290">
        <f t="shared" si="5"/>
        <v>0.03856767631832758</v>
      </c>
      <c r="E26" s="289">
        <f>E14</f>
        <v>33915000</v>
      </c>
      <c r="F26" s="290">
        <f t="shared" si="6"/>
        <v>-0.003451000847838004</v>
      </c>
      <c r="G26" s="293">
        <f>Metas!C15</f>
        <v>35359571.00450062</v>
      </c>
      <c r="H26" s="290">
        <f t="shared" si="7"/>
        <v>0.04259386715319535</v>
      </c>
      <c r="I26" s="293">
        <f>Metas!F15</f>
        <v>36635021.774192095</v>
      </c>
      <c r="J26" s="290">
        <f t="shared" si="8"/>
        <v>0.036070877939359924</v>
      </c>
      <c r="K26" s="293">
        <f>Metas!I15</f>
        <v>38639932.884876475</v>
      </c>
      <c r="L26" s="290">
        <f t="shared" si="9"/>
        <v>0.05472662533250516</v>
      </c>
    </row>
    <row r="27" spans="1:12" ht="11.25">
      <c r="A27" s="288" t="s">
        <v>134</v>
      </c>
      <c r="B27" s="291">
        <f>B24-B26</f>
        <v>-211536.49702471867</v>
      </c>
      <c r="C27" s="293">
        <f>C24-C26</f>
        <v>-339020.3350000009</v>
      </c>
      <c r="D27" s="290">
        <f t="shared" si="5"/>
        <v>0.6026564671740091</v>
      </c>
      <c r="E27" s="293">
        <f>E24-E26</f>
        <v>-339950</v>
      </c>
      <c r="F27" s="290">
        <f t="shared" si="6"/>
        <v>0.0027422101391030296</v>
      </c>
      <c r="G27" s="293">
        <f>Metas!C16</f>
        <v>-249675.85942736268</v>
      </c>
      <c r="H27" s="290">
        <f t="shared" si="7"/>
        <v>-0.2655512298062578</v>
      </c>
      <c r="I27" s="293">
        <f>Metas!F16</f>
        <v>-251648.08049039543</v>
      </c>
      <c r="J27" s="290">
        <f t="shared" si="8"/>
        <v>0.007899125960980191</v>
      </c>
      <c r="K27" s="293">
        <f>Metas!I16</f>
        <v>-261554.0628395751</v>
      </c>
      <c r="L27" s="290">
        <f t="shared" si="9"/>
        <v>0.03936442642389948</v>
      </c>
    </row>
    <row r="28" spans="1:12" ht="11.25">
      <c r="A28" s="288" t="s">
        <v>135</v>
      </c>
      <c r="B28" s="291">
        <f>B16*((1+Parâmetros!C14)*(1+Parâmetros!D14))</f>
        <v>-3803702.203406571</v>
      </c>
      <c r="C28" s="289">
        <f>C16*(1+Parâmetros!D14)</f>
        <v>-3578607.7743969997</v>
      </c>
      <c r="D28" s="290">
        <f t="shared" si="5"/>
        <v>-0.05917772132844101</v>
      </c>
      <c r="E28" s="289">
        <f>E16</f>
        <v>497260.67000000086</v>
      </c>
      <c r="F28" s="290">
        <f t="shared" si="6"/>
        <v>-1.1389536661596813</v>
      </c>
      <c r="G28" s="293">
        <f>Metas!C17</f>
        <v>-348558.8432442749</v>
      </c>
      <c r="H28" s="290">
        <f t="shared" si="7"/>
        <v>-1.7009579970285489</v>
      </c>
      <c r="I28" s="293">
        <f>Metas!F17</f>
        <v>-361523.78347522125</v>
      </c>
      <c r="J28" s="290">
        <f t="shared" si="8"/>
        <v>0.037195843635102754</v>
      </c>
      <c r="K28" s="293">
        <f>Metas!I17</f>
        <v>-372975.7215131727</v>
      </c>
      <c r="L28" s="290">
        <f t="shared" si="9"/>
        <v>0.03167685934205311</v>
      </c>
    </row>
    <row r="29" spans="1:12" ht="11.25">
      <c r="A29" s="288" t="s">
        <v>136</v>
      </c>
      <c r="B29" s="291">
        <f>B17*((1+Parâmetros!C14)*(1+Parâmetros!D14))</f>
        <v>53885.02480891829</v>
      </c>
      <c r="C29" s="289">
        <f>C17*(1+Parâmetros!D14)</f>
        <v>32321.976516</v>
      </c>
      <c r="D29" s="290">
        <f t="shared" si="5"/>
        <v>-0.4001677343451734</v>
      </c>
      <c r="E29" s="289">
        <f>E17</f>
        <v>65000</v>
      </c>
      <c r="F29" s="290">
        <f t="shared" si="6"/>
        <v>1.0110156310466891</v>
      </c>
      <c r="G29" s="293">
        <f>Metas!C18</f>
        <v>39260.74882696543</v>
      </c>
      <c r="H29" s="290">
        <f t="shared" si="7"/>
        <v>-0.39598847958514727</v>
      </c>
      <c r="I29" s="293">
        <f>Metas!F18</f>
        <v>15598.741926595842</v>
      </c>
      <c r="J29" s="290">
        <f t="shared" si="8"/>
        <v>-0.602688629415999</v>
      </c>
      <c r="K29" s="293">
        <f>Metas!I18</f>
        <v>-6157.618043849549</v>
      </c>
      <c r="L29" s="290">
        <f t="shared" si="9"/>
        <v>-1.3947509403531329</v>
      </c>
    </row>
    <row r="30" spans="1:12" ht="11.25">
      <c r="A30" s="295" t="s">
        <v>128</v>
      </c>
      <c r="B30" s="291">
        <f>B18*((1+Parâmetros!C14)*(1+Parâmetros!D14))</f>
        <v>-2511683.1649295366</v>
      </c>
      <c r="C30" s="289">
        <f>C18*(1+Parâmetros!D14)</f>
        <v>-5941655.252927</v>
      </c>
      <c r="D30" s="290">
        <f t="shared" si="5"/>
        <v>1.365606990519319</v>
      </c>
      <c r="E30" s="289">
        <f>E18</f>
        <v>-5197798.52</v>
      </c>
      <c r="F30" s="290">
        <f t="shared" si="6"/>
        <v>-0.12519351952649205</v>
      </c>
      <c r="G30" s="297">
        <f>Metas!C19</f>
        <v>-5325862.798046534</v>
      </c>
      <c r="H30" s="290">
        <f t="shared" si="7"/>
        <v>0.024638176634544484</v>
      </c>
      <c r="I30" s="297">
        <f>Metas!F19</f>
        <v>-5464880.240016553</v>
      </c>
      <c r="J30" s="290">
        <f t="shared" si="8"/>
        <v>0.026102332568726405</v>
      </c>
      <c r="K30" s="297">
        <f>Metas!I19</f>
        <v>-5612051.783268089</v>
      </c>
      <c r="L30" s="290">
        <f t="shared" si="9"/>
        <v>0.0269304242339794</v>
      </c>
    </row>
    <row r="31" spans="1:12" ht="11.25">
      <c r="A31" s="367"/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</row>
    <row r="33" ht="11.25">
      <c r="A33" s="283" t="s">
        <v>320</v>
      </c>
    </row>
    <row r="34" ht="11.25">
      <c r="A34" s="283" t="s">
        <v>321</v>
      </c>
    </row>
    <row r="35" ht="12.75">
      <c r="A35" s="310" t="s">
        <v>316</v>
      </c>
    </row>
  </sheetData>
  <sheetProtection/>
  <mergeCells count="34">
    <mergeCell ref="G21:G22"/>
    <mergeCell ref="H21:H22"/>
    <mergeCell ref="A31:L31"/>
    <mergeCell ref="F21:F22"/>
    <mergeCell ref="I21:I22"/>
    <mergeCell ref="J21:J22"/>
    <mergeCell ref="K21:K22"/>
    <mergeCell ref="L21:L22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:L1"/>
    <mergeCell ref="A2:L2"/>
    <mergeCell ref="A3:L3"/>
    <mergeCell ref="A4:L4"/>
    <mergeCell ref="A5:L5"/>
    <mergeCell ref="A6:L6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4"/>
  <dimension ref="A1:G22"/>
  <sheetViews>
    <sheetView zoomScale="95" zoomScaleNormal="95" zoomScalePageLayoutView="0" workbookViewId="0" topLeftCell="A1">
      <selection activeCell="A14" sqref="A14:G14"/>
    </sheetView>
  </sheetViews>
  <sheetFormatPr defaultColWidth="9.140625" defaultRowHeight="12.75"/>
  <cols>
    <col min="1" max="1" width="27.8515625" style="100" customWidth="1"/>
    <col min="2" max="2" width="16.28125" style="100" customWidth="1"/>
    <col min="3" max="3" width="12.8515625" style="100" customWidth="1"/>
    <col min="4" max="4" width="17.7109375" style="100" customWidth="1"/>
    <col min="5" max="5" width="14.00390625" style="100" customWidth="1"/>
    <col min="6" max="6" width="14.28125" style="100" customWidth="1"/>
    <col min="7" max="7" width="10.7109375" style="100" customWidth="1"/>
    <col min="8" max="16384" width="9.140625" style="100" customWidth="1"/>
  </cols>
  <sheetData>
    <row r="1" spans="1:7" ht="15">
      <c r="A1" s="360" t="str">
        <f>DADOS!A3</f>
        <v>MUNICIPIO DE QUILOMBO</v>
      </c>
      <c r="B1" s="386"/>
      <c r="C1" s="386"/>
      <c r="D1" s="386"/>
      <c r="E1" s="386"/>
      <c r="F1" s="386"/>
      <c r="G1" s="387"/>
    </row>
    <row r="2" spans="1:7" ht="12.75">
      <c r="A2" s="363" t="s">
        <v>48</v>
      </c>
      <c r="B2" s="361"/>
      <c r="C2" s="361"/>
      <c r="D2" s="361"/>
      <c r="E2" s="361"/>
      <c r="F2" s="361"/>
      <c r="G2" s="362"/>
    </row>
    <row r="3" spans="1:7" ht="12.75">
      <c r="A3" s="363" t="s">
        <v>227</v>
      </c>
      <c r="B3" s="361"/>
      <c r="C3" s="361"/>
      <c r="D3" s="361"/>
      <c r="E3" s="361"/>
      <c r="F3" s="361"/>
      <c r="G3" s="362"/>
    </row>
    <row r="4" spans="1:7" ht="12.75">
      <c r="A4" s="364" t="s">
        <v>236</v>
      </c>
      <c r="B4" s="365"/>
      <c r="C4" s="365"/>
      <c r="D4" s="365"/>
      <c r="E4" s="365"/>
      <c r="F4" s="365"/>
      <c r="G4" s="366"/>
    </row>
    <row r="5" spans="1:7" ht="12.75">
      <c r="A5" s="363" t="str">
        <f>DADOS!A17</f>
        <v>Exercício de 2019</v>
      </c>
      <c r="B5" s="361"/>
      <c r="C5" s="361"/>
      <c r="D5" s="361"/>
      <c r="E5" s="361"/>
      <c r="F5" s="361"/>
      <c r="G5" s="362"/>
    </row>
    <row r="6" spans="1:7" ht="12.75">
      <c r="A6" s="363"/>
      <c r="B6" s="361"/>
      <c r="C6" s="361"/>
      <c r="D6" s="361"/>
      <c r="E6" s="361"/>
      <c r="F6" s="361"/>
      <c r="G6" s="362"/>
    </row>
    <row r="7" spans="1:7" ht="15">
      <c r="A7" s="300" t="s">
        <v>138</v>
      </c>
      <c r="B7" s="117"/>
      <c r="C7" s="117"/>
      <c r="D7" s="117"/>
      <c r="E7" s="117"/>
      <c r="F7" s="117"/>
      <c r="G7" s="115">
        <v>1</v>
      </c>
    </row>
    <row r="8" spans="1:7" s="111" customFormat="1" ht="25.5" customHeight="1">
      <c r="A8" s="301" t="s">
        <v>139</v>
      </c>
      <c r="B8" s="116">
        <f>DADOS!E32-2</f>
        <v>2017</v>
      </c>
      <c r="C8" s="116" t="s">
        <v>21</v>
      </c>
      <c r="D8" s="116">
        <f>B8-1</f>
        <v>2016</v>
      </c>
      <c r="E8" s="116" t="s">
        <v>21</v>
      </c>
      <c r="F8" s="116">
        <f>D8-1</f>
        <v>2015</v>
      </c>
      <c r="G8" s="103" t="s">
        <v>21</v>
      </c>
    </row>
    <row r="9" spans="1:7" ht="15">
      <c r="A9" s="302" t="s">
        <v>140</v>
      </c>
      <c r="B9" s="240">
        <f>D12</f>
        <v>55016704.67</v>
      </c>
      <c r="C9" s="245">
        <f>B9/B12</f>
        <v>0.9306499740675226</v>
      </c>
      <c r="D9" s="240">
        <f>F12</f>
        <v>55770494.95</v>
      </c>
      <c r="E9" s="245">
        <f>D9/D12</f>
        <v>1.0137011164976415</v>
      </c>
      <c r="F9" s="109">
        <v>53756216.82</v>
      </c>
      <c r="G9" s="245">
        <f>F9/F12</f>
        <v>0.9638827281019137</v>
      </c>
    </row>
    <row r="10" spans="1:7" ht="15">
      <c r="A10" s="302" t="s">
        <v>56</v>
      </c>
      <c r="B10" s="109"/>
      <c r="C10" s="245">
        <f>B10/B12</f>
        <v>0</v>
      </c>
      <c r="D10" s="109"/>
      <c r="E10" s="245">
        <f>D10/D12</f>
        <v>0</v>
      </c>
      <c r="F10" s="109"/>
      <c r="G10" s="245">
        <f>F10/F12</f>
        <v>0</v>
      </c>
    </row>
    <row r="11" spans="1:7" ht="15">
      <c r="A11" s="303" t="s">
        <v>141</v>
      </c>
      <c r="B11" s="110">
        <v>4099726</v>
      </c>
      <c r="C11" s="246">
        <f>B11/B12</f>
        <v>0.06935002593247735</v>
      </c>
      <c r="D11" s="110">
        <v>-753790.28</v>
      </c>
      <c r="E11" s="246">
        <f>D11/D12</f>
        <v>-0.01370111649764137</v>
      </c>
      <c r="F11" s="110">
        <v>2014278.13</v>
      </c>
      <c r="G11" s="246">
        <f>F11/F12</f>
        <v>0.03611727189808631</v>
      </c>
    </row>
    <row r="12" spans="1:7" ht="15">
      <c r="A12" s="304" t="s">
        <v>142</v>
      </c>
      <c r="B12" s="247">
        <f>SUM(B9:B11)</f>
        <v>59116430.67</v>
      </c>
      <c r="C12" s="246">
        <f>B12/B12</f>
        <v>1</v>
      </c>
      <c r="D12" s="247">
        <f>SUM(D9:D11)</f>
        <v>55016704.67</v>
      </c>
      <c r="E12" s="246">
        <f>D12/D12</f>
        <v>1</v>
      </c>
      <c r="F12" s="247">
        <f>SUM(F9:F11)</f>
        <v>55770494.95</v>
      </c>
      <c r="G12" s="246">
        <f>F12/F12</f>
        <v>1</v>
      </c>
    </row>
    <row r="13" spans="1:7" ht="15">
      <c r="A13" s="388"/>
      <c r="B13" s="388"/>
      <c r="C13" s="388"/>
      <c r="D13" s="388"/>
      <c r="E13" s="388"/>
      <c r="F13" s="388"/>
      <c r="G13" s="388"/>
    </row>
    <row r="14" spans="1:7" ht="15.75" customHeight="1">
      <c r="A14" s="389" t="s">
        <v>143</v>
      </c>
      <c r="B14" s="389"/>
      <c r="C14" s="389"/>
      <c r="D14" s="389"/>
      <c r="E14" s="389"/>
      <c r="F14" s="389"/>
      <c r="G14" s="389"/>
    </row>
    <row r="15" spans="1:7" s="111" customFormat="1" ht="25.5" customHeight="1">
      <c r="A15" s="301" t="s">
        <v>139</v>
      </c>
      <c r="B15" s="116">
        <f>B8</f>
        <v>2017</v>
      </c>
      <c r="C15" s="116" t="s">
        <v>21</v>
      </c>
      <c r="D15" s="116">
        <f>D8</f>
        <v>2016</v>
      </c>
      <c r="E15" s="116" t="s">
        <v>21</v>
      </c>
      <c r="F15" s="116">
        <f>F8</f>
        <v>2015</v>
      </c>
      <c r="G15" s="103" t="s">
        <v>21</v>
      </c>
    </row>
    <row r="16" spans="1:7" ht="15">
      <c r="A16" s="302" t="s">
        <v>140</v>
      </c>
      <c r="B16" s="240">
        <f>D19</f>
        <v>0.1</v>
      </c>
      <c r="C16" s="245">
        <f>B16/B19</f>
        <v>1</v>
      </c>
      <c r="D16" s="240">
        <f>F19</f>
        <v>1</v>
      </c>
      <c r="E16" s="245">
        <f>D16/D19</f>
        <v>10</v>
      </c>
      <c r="F16" s="109">
        <v>1</v>
      </c>
      <c r="G16" s="245">
        <f>F16/F19</f>
        <v>1</v>
      </c>
    </row>
    <row r="17" spans="1:7" ht="15">
      <c r="A17" s="302" t="s">
        <v>56</v>
      </c>
      <c r="B17" s="109">
        <v>0</v>
      </c>
      <c r="C17" s="245">
        <f>B17/B19</f>
        <v>0</v>
      </c>
      <c r="D17" s="109">
        <v>0</v>
      </c>
      <c r="E17" s="245">
        <f>D17/D19</f>
        <v>0</v>
      </c>
      <c r="F17" s="109">
        <v>0</v>
      </c>
      <c r="G17" s="245">
        <f>F17/F19</f>
        <v>0</v>
      </c>
    </row>
    <row r="18" spans="1:7" ht="15">
      <c r="A18" s="303" t="s">
        <v>141</v>
      </c>
      <c r="B18" s="110">
        <v>0</v>
      </c>
      <c r="C18" s="246">
        <f>B18/B19</f>
        <v>0</v>
      </c>
      <c r="D18" s="110">
        <v>0</v>
      </c>
      <c r="E18" s="246">
        <f>D18/D19</f>
        <v>0</v>
      </c>
      <c r="F18" s="110">
        <v>0</v>
      </c>
      <c r="G18" s="246">
        <f>F18/F19</f>
        <v>0</v>
      </c>
    </row>
    <row r="19" spans="1:7" ht="15">
      <c r="A19" s="304" t="s">
        <v>142</v>
      </c>
      <c r="B19" s="247">
        <f>SUM(B16:B18)</f>
        <v>0.1</v>
      </c>
      <c r="C19" s="246">
        <f>B19/B19</f>
        <v>1</v>
      </c>
      <c r="D19" s="247">
        <v>0.1</v>
      </c>
      <c r="E19" s="246">
        <f>D19/D19</f>
        <v>1</v>
      </c>
      <c r="F19" s="247">
        <f>SUM(F16:F18)</f>
        <v>1</v>
      </c>
      <c r="G19" s="246">
        <f>F19/F19</f>
        <v>1</v>
      </c>
    </row>
    <row r="20" spans="1:7" ht="12.75">
      <c r="A20" s="367"/>
      <c r="B20" s="367"/>
      <c r="C20" s="367"/>
      <c r="D20" s="367"/>
      <c r="E20" s="367"/>
      <c r="F20" s="367"/>
      <c r="G20" s="367"/>
    </row>
    <row r="22" ht="12.75">
      <c r="A22" s="310"/>
    </row>
  </sheetData>
  <sheetProtection/>
  <mergeCells count="9">
    <mergeCell ref="A1:G1"/>
    <mergeCell ref="A2:G2"/>
    <mergeCell ref="A13:G13"/>
    <mergeCell ref="A14:G14"/>
    <mergeCell ref="A20:G20"/>
    <mergeCell ref="A3:G3"/>
    <mergeCell ref="A4:G4"/>
    <mergeCell ref="A5:G5"/>
    <mergeCell ref="A6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Contabilidade  01</cp:lastModifiedBy>
  <cp:lastPrinted>2018-08-28T16:39:22Z</cp:lastPrinted>
  <dcterms:created xsi:type="dcterms:W3CDTF">2000-07-04T17:38:30Z</dcterms:created>
  <dcterms:modified xsi:type="dcterms:W3CDTF">2019-03-18T12:42:24Z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