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activeTab="9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<sst xmlns="http://schemas.openxmlformats.org/spreadsheetml/2006/main" count="527" uniqueCount="345">
  <si>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</si>
  <si>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</si>
  <si>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</si>
  <si>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</si>
  <si>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</si>
  <si>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</si>
  <si>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</si>
  <si>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</si>
  <si>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</si>
  <si>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</si>
  <si>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</si>
  <si>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</si>
  <si>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</si>
  <si>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</si>
  <si>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</si>
  <si>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</si>
  <si>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</si>
  <si>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</si>
  <si>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</si>
  <si>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</si>
  <si>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</si>
  <si>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</si>
  <si>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</si>
  <si>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</si>
  <si>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</si>
  <si>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</si>
  <si>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</si>
  <si>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</si>
  <si>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</si>
  <si>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</si>
  <si>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</si>
  <si>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</si>
  <si>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</si>
  <si>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</si>
  <si>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</si>
  <si>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</si>
  <si>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</si>
  <si>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</si>
  <si>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</si>
  <si>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</si>
  <si>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</si>
  <si>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</si>
  <si>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</si>
  <si>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</si>
  <si>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</si>
  <si>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</si>
  <si>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</si>
  <si>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</si>
  <si>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</si>
  <si>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</si>
  <si>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</si>
  <si>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</si>
  <si>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</si>
  <si>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</si>
  <si>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</si>
  <si>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</si>
  <si>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</si>
  <si>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</si>
  <si>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</si>
  <si>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</si>
  <si>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</si>
  <si>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</si>
  <si>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</si>
  <si>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</si>
  <si>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</si>
  <si>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</si>
  <si>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</si>
  <si>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</si>
  <si>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</si>
  <si>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</si>
  <si>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</si>
  <si>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</si>
  <si>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</si>
  <si>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</si>
  <si>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</si>
  <si>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</si>
  <si>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</si>
  <si>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</si>
  <si>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</si>
  <si>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</si>
  <si>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</si>
  <si>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</si>
  <si>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</si>
  <si>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</si>
  <si>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</si>
  <si>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</si>
  <si>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</si>
  <si>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</si>
  <si>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</si>
  <si>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</si>
  <si>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</si>
  <si>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</si>
  <si>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</si>
  <si>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</si>
  <si>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</si>
  <si>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</si>
  <si>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</si>
  <si>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</si>
  <si>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</si>
  <si>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</si>
  <si>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</si>
  <si>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</si>
  <si>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</si>
  <si>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</si>
  <si>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</si>
  <si>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</si>
  <si>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</si>
  <si>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</si>
  <si>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</si>
  <si>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</si>
  <si>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</si>
  <si>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</si>
  <si>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</si>
  <si>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</si>
  <si>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</si>
  <si>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</si>
  <si>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</si>
  <si>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</si>
  <si>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</si>
  <si>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</si>
  <si>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</si>
  <si>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</si>
  <si>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</si>
  <si>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</si>
  <si>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</si>
  <si>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</si>
  <si>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</si>
  <si>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</si>
  <si>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</si>
  <si>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</si>
  <si>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</si>
  <si>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</si>
  <si>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</si>
  <si>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</si>
  <si>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</si>
  <si>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</si>
  <si>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</si>
  <si>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</si>
  <si>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</si>
  <si>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</si>
  <si>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</si>
  <si>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</si>
  <si>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</si>
  <si>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</si>
  <si>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</si>
  <si>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</si>
  <si>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</si>
  <si>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</si>
  <si>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</si>
  <si>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</si>
  <si>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</si>
  <si>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</si>
  <si>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</si>
  <si>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</si>
  <si>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</si>
  <si>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</si>
  <si>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</si>
  <si>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</si>
  <si>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</si>
  <si>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</si>
  <si>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</si>
  <si>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</si>
  <si>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</si>
  <si>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</si>
  <si>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</si>
  <si>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</si>
  <si>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</si>
  <si>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</si>
  <si>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</si>
  <si>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</si>
  <si>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</si>
  <si>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</si>
  <si>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</si>
  <si>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</si>
  <si>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</si>
  <si>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</si>
  <si>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</si>
  <si>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</si>
  <si>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</si>
  <si>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</si>
  <si>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</si>
  <si>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</si>
  <si>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</si>
  <si>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</si>
  <si>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</si>
  <si>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</si>
  <si>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</si>
  <si>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</si>
  <si>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</si>
  <si>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</si>
  <si>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</si>
  <si>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</si>
  <si>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</si>
  <si>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</si>
  <si>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</si>
  <si>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</si>
  <si>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</si>
  <si>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</si>
  <si>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</si>
  <si>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</si>
  <si>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</si>
  <si>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</si>
  <si>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</si>
  <si>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</si>
  <si>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</si>
  <si>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</si>
  <si>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</si>
  <si>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</si>
  <si>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</si>
  <si>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</si>
  <si>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</si>
  <si>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</si>
  <si>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</si>
  <si>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</si>
  <si>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</si>
  <si>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</si>
  <si>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</si>
  <si>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</si>
  <si>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</si>
  <si>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</si>
  <si>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</si>
  <si>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</si>
  <si>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</si>
  <si>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</si>
  <si>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</si>
  <si>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</si>
  <si>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</si>
  <si>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</si>
  <si>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</si>
  <si>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</si>
  <si>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</si>
  <si>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</si>
  <si>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</si>
  <si>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</si>
  <si>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</si>
  <si>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</si>
  <si>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</si>
  <si>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</si>
  <si>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</si>
  <si>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</si>
  <si>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</si>
  <si>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</si>
  <si>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</si>
  <si>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</si>
  <si>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</si>
  <si>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</si>
  <si>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</si>
  <si>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</si>
  <si>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</si>
  <si>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</si>
  <si>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</si>
  <si>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</si>
  <si>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</si>
  <si>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</si>
  <si>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</si>
  <si>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</si>
  <si>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</si>
  <si>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</si>
  <si>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</si>
  <si>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</si>
  <si>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</si>
  <si>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</si>
  <si>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</si>
  <si>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</si>
  <si>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</si>
  <si>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</si>
  <si>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</si>
  <si>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</si>
  <si>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</si>
  <si>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</si>
  <si>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</si>
  <si>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</si>
  <si>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</si>
  <si>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</si>
  <si>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</si>
  <si>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</si>
  <si>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</si>
  <si>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</si>
  <si>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</si>
  <si>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</si>
  <si>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</si>
  <si>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</si>
  <si>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</si>
  <si>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</si>
  <si>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</si>
  <si>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</si>
  <si>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</si>
  <si>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</si>
  <si>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</si>
  <si>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</si>
  <si>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</si>
  <si>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</si>
  <si>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</si>
  <si>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</si>
  <si>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</si>
  <si>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</si>
  <si>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</si>
  <si>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</si>
  <si>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</si>
  <si>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</si>
  <si>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</si>
  <si>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</si>
  <si>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</si>
  <si>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</si>
  <si>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</si>
  <si>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</si>
  <si>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</si>
  <si>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</si>
  <si>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</si>
  <si>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</si>
  <si>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</si>
  <si>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</si>
  <si>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</si>
  <si>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</si>
  <si>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</si>
  <si>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</si>
  <si>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</si>
  <si>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</si>
  <si>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</si>
  <si>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</si>
  <si>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</si>
  <si>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</si>
  <si>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</si>
  <si>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</si>
  <si>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</si>
  <si>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</si>
  <si>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</si>
  <si>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</si>
  <si>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</si>
  <si>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</si>
  <si>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</si>
  <si>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</si>
  <si>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</si>
  <si>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</si>
  <si>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</si>
  <si>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</si>
  <si>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</si>
  <si>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</si>
  <si>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</si>
  <si>
    <t>Exercício de 2014</t>
  </si>
  <si>
    <t>Quilombo SC , em 11 de abril de 2013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</si>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</sst>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20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20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69" fontId="20" fillId="0" borderId="34" xfId="0" applyNumberFormat="1" applyFont="1" applyBorder="1" applyAlignment="1">
      <alignment wrapText="1"/>
    </xf>
    <xf numFmtId="169" fontId="20" fillId="0" borderId="30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69" fontId="20" fillId="0" borderId="0" xfId="0" applyNumberFormat="1" applyFont="1" applyBorder="1" applyAlignment="1">
      <alignment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wrapText="1"/>
    </xf>
    <xf numFmtId="169" fontId="20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5" zoomScaleSheetLayoutView="95" zoomScalePageLayoutView="0" workbookViewId="0" topLeftCell="A17">
      <selection activeCell="H29" sqref="H29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0" t="s">
        <v>320</v>
      </c>
      <c r="B1" s="340"/>
      <c r="C1" s="340"/>
      <c r="D1" s="340"/>
      <c r="E1" s="340"/>
      <c r="F1" s="340"/>
      <c r="G1" s="340"/>
      <c r="H1" s="340"/>
      <c r="I1" s="340"/>
      <c r="J1" s="340"/>
    </row>
    <row r="3" spans="1:10" ht="20.25">
      <c r="A3" s="341" t="s">
        <v>322</v>
      </c>
      <c r="B3" s="341"/>
      <c r="C3" s="341"/>
      <c r="D3" s="341"/>
      <c r="E3" s="341"/>
      <c r="F3" s="341"/>
      <c r="G3" s="341"/>
      <c r="H3" s="341"/>
      <c r="I3" s="341"/>
      <c r="J3" s="341"/>
    </row>
    <row r="7" spans="1:10" ht="20.25">
      <c r="A7" s="341" t="s">
        <v>301</v>
      </c>
      <c r="B7" s="341"/>
      <c r="C7" s="341"/>
      <c r="D7" s="341"/>
      <c r="E7" s="341"/>
      <c r="F7" s="341"/>
      <c r="G7" s="341"/>
      <c r="H7" s="341"/>
      <c r="I7" s="341"/>
      <c r="J7" s="341"/>
    </row>
    <row r="11" spans="1:10" ht="23.25">
      <c r="A11" s="334" t="s">
        <v>302</v>
      </c>
      <c r="B11" s="334"/>
      <c r="C11" s="334"/>
      <c r="D11" s="334"/>
      <c r="E11" s="334"/>
      <c r="F11" s="334"/>
      <c r="G11" s="334"/>
      <c r="H11" s="334"/>
      <c r="I11" s="334"/>
      <c r="J11" s="334"/>
    </row>
    <row r="14" spans="1:10" ht="27.75">
      <c r="A14" s="339" t="s">
        <v>303</v>
      </c>
      <c r="B14" s="339"/>
      <c r="C14" s="339"/>
      <c r="D14" s="339"/>
      <c r="E14" s="339"/>
      <c r="F14" s="339"/>
      <c r="G14" s="339"/>
      <c r="H14" s="339"/>
      <c r="I14" s="339"/>
      <c r="J14" s="339"/>
    </row>
    <row r="17" spans="1:10" ht="15">
      <c r="A17" s="335" t="s">
        <v>339</v>
      </c>
      <c r="B17" s="335"/>
      <c r="C17" s="335"/>
      <c r="D17" s="335"/>
      <c r="E17" s="335"/>
      <c r="F17" s="335"/>
      <c r="G17" s="335"/>
      <c r="H17" s="335"/>
      <c r="I17" s="335"/>
      <c r="J17" s="335"/>
    </row>
    <row r="18" ht="15.75" thickBot="1"/>
    <row r="19" spans="2:9" ht="15.75" thickBot="1">
      <c r="B19" s="342" t="s">
        <v>306</v>
      </c>
      <c r="C19" s="343"/>
      <c r="E19" s="332" t="s">
        <v>307</v>
      </c>
      <c r="F19" s="333"/>
      <c r="H19" s="332" t="s">
        <v>308</v>
      </c>
      <c r="I19" s="333"/>
    </row>
    <row r="20" ht="15.75" thickBot="1"/>
    <row r="21" spans="2:9" ht="15.75" thickBot="1">
      <c r="B21" s="332" t="s">
        <v>309</v>
      </c>
      <c r="C21" s="333"/>
      <c r="E21" s="332" t="s">
        <v>310</v>
      </c>
      <c r="F21" s="333"/>
      <c r="H21" s="332" t="s">
        <v>311</v>
      </c>
      <c r="I21" s="333"/>
    </row>
    <row r="22" ht="15.75" thickBot="1"/>
    <row r="23" spans="2:9" ht="15.75" thickBot="1">
      <c r="B23" s="337" t="s">
        <v>312</v>
      </c>
      <c r="C23" s="338"/>
      <c r="E23" s="332" t="s">
        <v>313</v>
      </c>
      <c r="F23" s="333"/>
      <c r="H23" s="332" t="s">
        <v>314</v>
      </c>
      <c r="I23" s="333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32" t="s">
        <v>315</v>
      </c>
      <c r="C25" s="333"/>
      <c r="E25" s="332" t="s">
        <v>316</v>
      </c>
      <c r="F25" s="333"/>
      <c r="H25" s="332" t="s">
        <v>317</v>
      </c>
      <c r="I25" s="333"/>
    </row>
    <row r="27" spans="1:10" ht="15">
      <c r="A27" s="335" t="s">
        <v>304</v>
      </c>
      <c r="B27" s="335"/>
      <c r="C27" s="335"/>
      <c r="D27" s="335"/>
      <c r="E27" s="335"/>
      <c r="F27" s="335"/>
      <c r="G27" s="335"/>
      <c r="H27" s="335"/>
      <c r="I27" s="335"/>
      <c r="J27" s="335"/>
    </row>
    <row r="32" ht="15">
      <c r="E32" s="320">
        <v>2014</v>
      </c>
    </row>
    <row r="33" spans="1:10" ht="15">
      <c r="A33" s="336"/>
      <c r="B33" s="336"/>
      <c r="C33" s="336"/>
      <c r="D33" s="336"/>
      <c r="E33" s="336"/>
      <c r="F33" s="336"/>
      <c r="G33" s="336"/>
      <c r="H33" s="336"/>
      <c r="I33" s="336"/>
      <c r="J33" s="336"/>
    </row>
    <row r="39" spans="1:10" ht="15">
      <c r="A39" s="335" t="s">
        <v>340</v>
      </c>
      <c r="B39" s="335"/>
      <c r="C39" s="335"/>
      <c r="D39" s="335"/>
      <c r="E39" s="335"/>
      <c r="F39" s="335"/>
      <c r="G39" s="335"/>
      <c r="H39" s="335"/>
      <c r="I39" s="335"/>
      <c r="J39" s="335"/>
    </row>
  </sheetData>
  <sheetProtection/>
  <mergeCells count="21">
    <mergeCell ref="E19:F19"/>
    <mergeCell ref="B23:C23"/>
    <mergeCell ref="A14:J14"/>
    <mergeCell ref="H23:I23"/>
    <mergeCell ref="H25:I25"/>
    <mergeCell ref="B25:C25"/>
    <mergeCell ref="A1:J1"/>
    <mergeCell ref="A3:J3"/>
    <mergeCell ref="A7:J7"/>
    <mergeCell ref="B19:C19"/>
    <mergeCell ref="H19:I19"/>
    <mergeCell ref="E23:F23"/>
    <mergeCell ref="A11:J11"/>
    <mergeCell ref="E25:F25"/>
    <mergeCell ref="A17:J17"/>
    <mergeCell ref="A39:J39"/>
    <mergeCell ref="A27:J27"/>
    <mergeCell ref="A33:J33"/>
    <mergeCell ref="B21:C21"/>
    <mergeCell ref="E21:F21"/>
    <mergeCell ref="H21:I21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8">
      <selection activeCell="A20" sqref="A20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393" t="str">
        <f>DADOS!A3</f>
        <v>MUNICIPIO DE QUILOMBO</v>
      </c>
      <c r="B1" s="394"/>
      <c r="C1" s="394"/>
      <c r="D1" s="395"/>
    </row>
    <row r="2" spans="1:4" ht="14.25">
      <c r="A2" s="396" t="s">
        <v>48</v>
      </c>
      <c r="B2" s="394"/>
      <c r="C2" s="394"/>
      <c r="D2" s="395"/>
    </row>
    <row r="3" spans="1:4" ht="14.25">
      <c r="A3" s="396" t="s">
        <v>229</v>
      </c>
      <c r="B3" s="394"/>
      <c r="C3" s="394"/>
      <c r="D3" s="395"/>
    </row>
    <row r="4" spans="1:4" ht="14.25">
      <c r="A4" s="397" t="s">
        <v>239</v>
      </c>
      <c r="B4" s="398"/>
      <c r="C4" s="398"/>
      <c r="D4" s="399"/>
    </row>
    <row r="5" spans="1:4" ht="14.25">
      <c r="A5" s="396" t="str">
        <f>DADOS!A17</f>
        <v>Exercício de 2014</v>
      </c>
      <c r="B5" s="394"/>
      <c r="C5" s="394"/>
      <c r="D5" s="395"/>
    </row>
    <row r="6" spans="1:4" ht="14.25">
      <c r="A6" s="400" t="s">
        <v>319</v>
      </c>
      <c r="B6" s="401"/>
      <c r="C6" s="401"/>
      <c r="D6" s="402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2012</v>
      </c>
      <c r="C8" s="130">
        <f>B8-1</f>
        <v>2011</v>
      </c>
      <c r="D8" s="131">
        <f>C8-1</f>
        <v>2010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33351.98</v>
      </c>
      <c r="C11" s="229">
        <f>Plano!D16</f>
        <v>12000</v>
      </c>
      <c r="D11" s="134"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33351.98</v>
      </c>
      <c r="C13" s="148">
        <f>C11+C12</f>
        <v>12000</v>
      </c>
      <c r="D13" s="148">
        <f>D11+D12</f>
        <v>0</v>
      </c>
    </row>
    <row r="14" spans="1:4" ht="14.25">
      <c r="A14" s="403"/>
      <c r="B14" s="403"/>
      <c r="C14" s="403"/>
      <c r="D14" s="403"/>
    </row>
    <row r="15" spans="1:4" s="132" customFormat="1" ht="14.25">
      <c r="A15" s="407" t="s">
        <v>228</v>
      </c>
      <c r="B15" s="409">
        <f>B8</f>
        <v>2012</v>
      </c>
      <c r="C15" s="409">
        <f>C8</f>
        <v>2011</v>
      </c>
      <c r="D15" s="411">
        <f>D8</f>
        <v>2010</v>
      </c>
    </row>
    <row r="16" spans="1:4" s="132" customFormat="1" ht="14.25">
      <c r="A16" s="408"/>
      <c r="B16" s="410"/>
      <c r="C16" s="410"/>
      <c r="D16" s="412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11808</v>
      </c>
      <c r="C18" s="322">
        <f>C19+C20+C21</f>
        <v>12000</v>
      </c>
      <c r="D18" s="322">
        <f>D19+D20+D21</f>
        <v>0</v>
      </c>
    </row>
    <row r="19" spans="1:4" ht="14.25">
      <c r="A19" s="133" t="s">
        <v>151</v>
      </c>
      <c r="B19" s="134">
        <v>11808</v>
      </c>
      <c r="C19" s="134">
        <f>C11</f>
        <v>12000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11808</v>
      </c>
      <c r="C25" s="323">
        <f>C18+C22</f>
        <v>12000</v>
      </c>
      <c r="D25" s="323">
        <f>D18+D22</f>
        <v>0</v>
      </c>
    </row>
    <row r="26" spans="1:4" ht="14.25">
      <c r="A26" s="404" t="s">
        <v>157</v>
      </c>
      <c r="B26" s="135">
        <v>0</v>
      </c>
      <c r="C26" s="135">
        <v>0</v>
      </c>
      <c r="D26" s="138">
        <v>0</v>
      </c>
    </row>
    <row r="27" spans="1:4" ht="14.25">
      <c r="A27" s="405"/>
      <c r="B27" s="148">
        <f>C27+B13-B25</f>
        <v>21543.980000000003</v>
      </c>
      <c r="C27" s="148">
        <f>D27+C13-C25</f>
        <v>0</v>
      </c>
      <c r="D27" s="262">
        <f>D13-D25</f>
        <v>0</v>
      </c>
    </row>
    <row r="28" spans="1:4" ht="14.25">
      <c r="A28" s="406"/>
      <c r="B28" s="406"/>
      <c r="C28" s="406"/>
      <c r="D28" s="406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7"/>
    </row>
    <row r="2" spans="1:6" ht="12.75">
      <c r="A2" s="349" t="s">
        <v>48</v>
      </c>
      <c r="B2" s="347"/>
      <c r="C2" s="347"/>
      <c r="D2" s="347"/>
      <c r="E2" s="347"/>
      <c r="F2" s="347"/>
    </row>
    <row r="3" spans="1:6" ht="12.75">
      <c r="A3" s="349" t="s">
        <v>233</v>
      </c>
      <c r="B3" s="347"/>
      <c r="C3" s="347"/>
      <c r="D3" s="347"/>
      <c r="E3" s="347"/>
      <c r="F3" s="347"/>
    </row>
    <row r="4" spans="1:6" ht="12.75">
      <c r="A4" s="350" t="s">
        <v>241</v>
      </c>
      <c r="B4" s="351"/>
      <c r="C4" s="351"/>
      <c r="D4" s="351"/>
      <c r="E4" s="351"/>
      <c r="F4" s="351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7"/>
    </row>
    <row r="6" spans="1:6" ht="12.75">
      <c r="A6" s="401" t="s">
        <v>319</v>
      </c>
      <c r="B6" s="401"/>
      <c r="C6" s="401"/>
      <c r="D6" s="401"/>
      <c r="E6" s="401"/>
      <c r="F6" s="402"/>
    </row>
    <row r="7" spans="1:6" ht="15.75">
      <c r="A7" s="413" t="s">
        <v>158</v>
      </c>
      <c r="B7" s="413"/>
      <c r="C7" s="414"/>
      <c r="D7" s="86"/>
      <c r="E7" s="86"/>
      <c r="F7" s="104">
        <v>1</v>
      </c>
    </row>
    <row r="8" spans="1:6" s="151" customFormat="1" ht="25.5" customHeight="1">
      <c r="A8" s="415" t="s">
        <v>159</v>
      </c>
      <c r="B8" s="415"/>
      <c r="C8" s="416"/>
      <c r="D8" s="152">
        <f>DADOS!E32-4</f>
        <v>2010</v>
      </c>
      <c r="E8" s="152">
        <f>D8+1</f>
        <v>2011</v>
      </c>
      <c r="F8" s="152">
        <f>E8+1</f>
        <v>2012</v>
      </c>
    </row>
    <row r="9" spans="1:6" ht="15.75">
      <c r="A9" s="417" t="s">
        <v>2</v>
      </c>
      <c r="B9" s="417"/>
      <c r="C9" s="417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18" t="s">
        <v>160</v>
      </c>
      <c r="B10" s="418"/>
      <c r="C10" s="418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18" t="s">
        <v>161</v>
      </c>
      <c r="B11" s="418"/>
      <c r="C11" s="418"/>
      <c r="D11" s="157"/>
      <c r="E11" s="157"/>
      <c r="F11" s="157"/>
    </row>
    <row r="12" spans="1:6" ht="15.75">
      <c r="A12" s="418" t="s">
        <v>162</v>
      </c>
      <c r="B12" s="418"/>
      <c r="C12" s="418"/>
      <c r="D12" s="157"/>
      <c r="E12" s="157"/>
      <c r="F12" s="157"/>
    </row>
    <row r="13" spans="1:6" ht="15.75">
      <c r="A13" s="418" t="s">
        <v>163</v>
      </c>
      <c r="B13" s="418"/>
      <c r="C13" s="418"/>
      <c r="D13" s="157">
        <v>0</v>
      </c>
      <c r="E13" s="157">
        <v>0</v>
      </c>
      <c r="F13" s="157">
        <v>0</v>
      </c>
    </row>
    <row r="14" spans="1:6" ht="15.75">
      <c r="A14" s="418" t="s">
        <v>164</v>
      </c>
      <c r="B14" s="418"/>
      <c r="C14" s="418"/>
      <c r="D14" s="157"/>
      <c r="E14" s="157"/>
      <c r="F14" s="157"/>
    </row>
    <row r="15" spans="1:6" ht="15.75">
      <c r="A15" s="418" t="s">
        <v>165</v>
      </c>
      <c r="B15" s="418"/>
      <c r="C15" s="418"/>
      <c r="D15" s="157"/>
      <c r="E15" s="157"/>
      <c r="F15" s="157"/>
    </row>
    <row r="16" spans="1:6" ht="15.75">
      <c r="A16" s="418" t="s">
        <v>166</v>
      </c>
      <c r="B16" s="418"/>
      <c r="C16" s="418"/>
      <c r="D16" s="157"/>
      <c r="E16" s="157"/>
      <c r="F16" s="157"/>
    </row>
    <row r="17" spans="1:6" ht="15.75">
      <c r="A17" s="417" t="s">
        <v>75</v>
      </c>
      <c r="B17" s="417"/>
      <c r="C17" s="417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18" t="s">
        <v>167</v>
      </c>
      <c r="B18" s="418"/>
      <c r="C18" s="418"/>
      <c r="D18" s="157"/>
      <c r="E18" s="157"/>
      <c r="F18" s="157"/>
    </row>
    <row r="19" spans="1:6" ht="15.75">
      <c r="A19" s="418" t="s">
        <v>168</v>
      </c>
      <c r="B19" s="418"/>
      <c r="C19" s="418"/>
      <c r="D19" s="157"/>
      <c r="E19" s="157"/>
      <c r="F19" s="157"/>
    </row>
    <row r="20" spans="1:6" s="149" customFormat="1" ht="15.75">
      <c r="A20" s="417" t="s">
        <v>169</v>
      </c>
      <c r="B20" s="417"/>
      <c r="C20" s="417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18" t="s">
        <v>170</v>
      </c>
      <c r="B21" s="418"/>
      <c r="C21" s="418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18" t="s">
        <v>161</v>
      </c>
      <c r="B22" s="418"/>
      <c r="C22" s="418"/>
      <c r="D22" s="157"/>
      <c r="E22" s="157"/>
      <c r="F22" s="157"/>
    </row>
    <row r="23" spans="1:6" ht="15.75">
      <c r="A23" s="418" t="s">
        <v>162</v>
      </c>
      <c r="B23" s="418"/>
      <c r="C23" s="418"/>
      <c r="D23" s="157"/>
      <c r="E23" s="157"/>
      <c r="F23" s="157"/>
    </row>
    <row r="24" spans="1:6" ht="15.75">
      <c r="A24" s="418" t="s">
        <v>171</v>
      </c>
      <c r="B24" s="418"/>
      <c r="C24" s="418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18" t="s">
        <v>161</v>
      </c>
      <c r="B25" s="418"/>
      <c r="C25" s="418"/>
      <c r="D25" s="157"/>
      <c r="E25" s="157"/>
      <c r="F25" s="157"/>
    </row>
    <row r="26" spans="1:6" ht="15.75">
      <c r="A26" s="418" t="s">
        <v>162</v>
      </c>
      <c r="B26" s="418"/>
      <c r="C26" s="418"/>
      <c r="D26" s="157"/>
      <c r="E26" s="157"/>
      <c r="F26" s="157"/>
    </row>
    <row r="27" spans="1:6" ht="15.75">
      <c r="A27" s="418" t="s">
        <v>172</v>
      </c>
      <c r="B27" s="418"/>
      <c r="C27" s="418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9" t="s">
        <v>173</v>
      </c>
      <c r="B29" s="419"/>
      <c r="C29" s="420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15" t="s">
        <v>174</v>
      </c>
      <c r="B30" s="415"/>
      <c r="C30" s="416"/>
      <c r="D30" s="150">
        <f>D8</f>
        <v>2010</v>
      </c>
      <c r="E30" s="150">
        <f>E8</f>
        <v>2011</v>
      </c>
      <c r="F30" s="150">
        <f>F8</f>
        <v>2012</v>
      </c>
    </row>
    <row r="31" spans="1:6" s="149" customFormat="1" ht="15.75">
      <c r="A31" s="417" t="s">
        <v>175</v>
      </c>
      <c r="B31" s="417"/>
      <c r="C31" s="421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18" t="s">
        <v>176</v>
      </c>
      <c r="B32" s="418"/>
      <c r="C32" s="424"/>
      <c r="D32" s="139"/>
      <c r="E32" s="139"/>
      <c r="F32" s="140"/>
    </row>
    <row r="33" spans="1:6" ht="15.75">
      <c r="A33" s="418" t="s">
        <v>177</v>
      </c>
      <c r="B33" s="418"/>
      <c r="C33" s="424"/>
      <c r="D33" s="139"/>
      <c r="E33" s="139"/>
      <c r="F33" s="140"/>
    </row>
    <row r="34" spans="1:6" s="149" customFormat="1" ht="15.75">
      <c r="A34" s="417" t="s">
        <v>178</v>
      </c>
      <c r="B34" s="417"/>
      <c r="C34" s="421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18" t="s">
        <v>179</v>
      </c>
      <c r="B35" s="418"/>
      <c r="C35" s="424"/>
      <c r="D35" s="139"/>
      <c r="E35" s="139"/>
      <c r="F35" s="140"/>
    </row>
    <row r="36" spans="1:6" ht="15.75">
      <c r="A36" s="418" t="s">
        <v>180</v>
      </c>
      <c r="B36" s="418"/>
      <c r="C36" s="424"/>
      <c r="D36" s="139"/>
      <c r="E36" s="139"/>
      <c r="F36" s="140"/>
    </row>
    <row r="37" spans="1:6" ht="15.75">
      <c r="A37" s="418" t="s">
        <v>181</v>
      </c>
      <c r="B37" s="418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18" t="s">
        <v>182</v>
      </c>
      <c r="B38" s="418"/>
      <c r="C38" s="424"/>
      <c r="D38" s="139"/>
      <c r="E38" s="139"/>
      <c r="F38" s="140"/>
    </row>
    <row r="39" spans="1:6" ht="15.75">
      <c r="A39" s="418" t="s">
        <v>183</v>
      </c>
      <c r="B39" s="418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9" t="s">
        <v>184</v>
      </c>
      <c r="B41" s="419"/>
      <c r="C41" s="420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9" t="s">
        <v>185</v>
      </c>
      <c r="B42" s="419"/>
      <c r="C42" s="420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9" t="s">
        <v>186</v>
      </c>
      <c r="B43" s="419"/>
      <c r="C43" s="420"/>
      <c r="D43" s="153"/>
      <c r="E43" s="153"/>
      <c r="F43" s="154"/>
    </row>
    <row r="44" spans="1:6" ht="12.75">
      <c r="A44" s="425"/>
      <c r="B44" s="425"/>
      <c r="C44" s="425"/>
      <c r="D44" s="425"/>
      <c r="E44" s="425"/>
      <c r="F44" s="425"/>
    </row>
    <row r="45" spans="1:6" ht="12.75">
      <c r="A45" s="336"/>
      <c r="B45" s="336"/>
      <c r="C45" s="336"/>
      <c r="D45" s="336"/>
      <c r="E45" s="336"/>
      <c r="F45" s="422"/>
    </row>
    <row r="46" spans="1:6" ht="12.75">
      <c r="A46" s="336"/>
      <c r="B46" s="336"/>
      <c r="C46" s="336"/>
      <c r="D46" s="336"/>
      <c r="E46" s="336"/>
      <c r="F46" s="422"/>
    </row>
    <row r="47" spans="1:6" ht="12.75">
      <c r="A47" s="423" t="str">
        <f>DADOS!A3</f>
        <v>MUNICIPIO DE QUILOMBO</v>
      </c>
      <c r="B47" s="347"/>
      <c r="C47" s="347"/>
      <c r="D47" s="347"/>
      <c r="E47" s="347"/>
      <c r="F47" s="347"/>
    </row>
    <row r="48" spans="1:6" ht="12.75">
      <c r="A48" s="347" t="s">
        <v>48</v>
      </c>
      <c r="B48" s="347"/>
      <c r="C48" s="347"/>
      <c r="D48" s="347"/>
      <c r="E48" s="347"/>
      <c r="F48" s="347"/>
    </row>
    <row r="49" spans="1:6" ht="12.75">
      <c r="A49" s="347" t="s">
        <v>229</v>
      </c>
      <c r="B49" s="347"/>
      <c r="C49" s="347"/>
      <c r="D49" s="347"/>
      <c r="E49" s="347"/>
      <c r="F49" s="347"/>
    </row>
    <row r="50" spans="1:6" ht="12.75">
      <c r="A50" s="351" t="s">
        <v>244</v>
      </c>
      <c r="B50" s="351"/>
      <c r="C50" s="351"/>
      <c r="D50" s="351"/>
      <c r="E50" s="351"/>
      <c r="F50" s="351"/>
    </row>
    <row r="51" spans="1:6" ht="12.75">
      <c r="A51" s="347" t="str">
        <f>DADOS!A17</f>
        <v>Exercício de 2014</v>
      </c>
      <c r="B51" s="347"/>
      <c r="C51" s="347"/>
      <c r="D51" s="347"/>
      <c r="E51" s="347"/>
      <c r="F51" s="347"/>
    </row>
    <row r="52" spans="1:6" ht="12.75">
      <c r="A52" s="426"/>
      <c r="B52" s="426"/>
      <c r="C52" s="426"/>
      <c r="D52" s="426"/>
      <c r="E52" s="426"/>
      <c r="F52" s="426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7" t="s">
        <v>187</v>
      </c>
      <c r="B54" s="427" t="s">
        <v>188</v>
      </c>
      <c r="C54" s="66" t="s">
        <v>189</v>
      </c>
      <c r="D54" s="65" t="s">
        <v>190</v>
      </c>
      <c r="E54" s="65" t="s">
        <v>191</v>
      </c>
      <c r="F54" s="429" t="s">
        <v>245</v>
      </c>
      <c r="G54" s="42"/>
      <c r="H54" s="42"/>
    </row>
    <row r="55" spans="1:6" s="67" customFormat="1" ht="25.5" customHeight="1">
      <c r="A55" s="359"/>
      <c r="B55" s="428"/>
      <c r="C55" s="74" t="s">
        <v>192</v>
      </c>
      <c r="D55" s="65" t="s">
        <v>193</v>
      </c>
      <c r="E55" s="65" t="s">
        <v>194</v>
      </c>
      <c r="F55" s="430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53"/>
      <c r="B57" s="353"/>
      <c r="C57" s="353"/>
      <c r="D57" s="353"/>
      <c r="E57" s="353"/>
      <c r="F57" s="353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1:C41"/>
    <mergeCell ref="A42:C42"/>
    <mergeCell ref="A43:C43"/>
    <mergeCell ref="A44:F44"/>
    <mergeCell ref="A48:F48"/>
    <mergeCell ref="A49:F49"/>
    <mergeCell ref="A45:F46"/>
    <mergeCell ref="A47:F47"/>
    <mergeCell ref="A32:C32"/>
    <mergeCell ref="A33:C33"/>
    <mergeCell ref="A34:C34"/>
    <mergeCell ref="A35:C35"/>
    <mergeCell ref="A36:C36"/>
    <mergeCell ref="A37:C37"/>
    <mergeCell ref="A38:C38"/>
    <mergeCell ref="A39:C39"/>
    <mergeCell ref="A25:C25"/>
    <mergeCell ref="A26:C26"/>
    <mergeCell ref="A27:C27"/>
    <mergeCell ref="A29:C29"/>
    <mergeCell ref="A30:C30"/>
    <mergeCell ref="A31:C31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8"/>
    </row>
    <row r="2" spans="1:6" ht="12.75">
      <c r="A2" s="349" t="s">
        <v>48</v>
      </c>
      <c r="B2" s="347"/>
      <c r="C2" s="347"/>
      <c r="D2" s="347"/>
      <c r="E2" s="347"/>
      <c r="F2" s="348"/>
    </row>
    <row r="3" spans="1:6" ht="12.75">
      <c r="A3" s="349" t="s">
        <v>229</v>
      </c>
      <c r="B3" s="347"/>
      <c r="C3" s="347"/>
      <c r="D3" s="347"/>
      <c r="E3" s="347"/>
      <c r="F3" s="348"/>
    </row>
    <row r="4" spans="1:6" ht="12.75">
      <c r="A4" s="350" t="s">
        <v>246</v>
      </c>
      <c r="B4" s="351"/>
      <c r="C4" s="351"/>
      <c r="D4" s="351"/>
      <c r="E4" s="351"/>
      <c r="F4" s="352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8"/>
    </row>
    <row r="6" spans="1:6" ht="12.75">
      <c r="A6" s="349"/>
      <c r="B6" s="347"/>
      <c r="C6" s="347"/>
      <c r="D6" s="347"/>
      <c r="E6" s="347"/>
      <c r="F6" s="348"/>
    </row>
    <row r="7" spans="1:6" ht="15.75">
      <c r="A7" s="95" t="s">
        <v>195</v>
      </c>
      <c r="B7" s="435"/>
      <c r="C7" s="435"/>
      <c r="D7" s="435"/>
      <c r="E7" s="435"/>
      <c r="F7" s="106">
        <v>1</v>
      </c>
    </row>
    <row r="8" spans="1:6" s="67" customFormat="1" ht="12.75">
      <c r="A8" s="357" t="s">
        <v>196</v>
      </c>
      <c r="B8" s="429" t="s">
        <v>197</v>
      </c>
      <c r="C8" s="436"/>
      <c r="D8" s="436"/>
      <c r="E8" s="357"/>
      <c r="F8" s="429" t="s">
        <v>198</v>
      </c>
    </row>
    <row r="9" spans="1:6" s="67" customFormat="1" ht="12.75">
      <c r="A9" s="358"/>
      <c r="B9" s="430"/>
      <c r="C9" s="437"/>
      <c r="D9" s="437"/>
      <c r="E9" s="359"/>
      <c r="F9" s="438"/>
    </row>
    <row r="10" spans="1:6" ht="15.75" customHeight="1">
      <c r="A10" s="359"/>
      <c r="B10" s="96" t="s">
        <v>199</v>
      </c>
      <c r="C10" s="97">
        <f>DADOS!E32</f>
        <v>2014</v>
      </c>
      <c r="D10" s="97">
        <f>C10+1</f>
        <v>2015</v>
      </c>
      <c r="E10" s="97">
        <f>D10+1</f>
        <v>2016</v>
      </c>
      <c r="F10" s="430"/>
    </row>
    <row r="11" spans="1:6" ht="15.75">
      <c r="A11" s="99" t="s">
        <v>326</v>
      </c>
      <c r="B11" s="80" t="s">
        <v>330</v>
      </c>
      <c r="C11" s="107">
        <v>27000</v>
      </c>
      <c r="D11" s="107">
        <v>27000</v>
      </c>
      <c r="E11" s="107">
        <v>27000</v>
      </c>
      <c r="F11" s="431" t="s">
        <v>333</v>
      </c>
    </row>
    <row r="12" spans="1:6" ht="15.75">
      <c r="A12" s="99" t="s">
        <v>327</v>
      </c>
      <c r="B12" s="80" t="s">
        <v>330</v>
      </c>
      <c r="C12" s="107">
        <v>54000</v>
      </c>
      <c r="D12" s="107">
        <v>54000</v>
      </c>
      <c r="E12" s="107">
        <v>54000</v>
      </c>
      <c r="F12" s="432"/>
    </row>
    <row r="13" spans="1:6" ht="15.75">
      <c r="A13" s="99" t="s">
        <v>328</v>
      </c>
      <c r="B13" s="80" t="s">
        <v>330</v>
      </c>
      <c r="C13" s="107">
        <v>16000</v>
      </c>
      <c r="D13" s="107">
        <v>16000</v>
      </c>
      <c r="E13" s="107">
        <v>16000</v>
      </c>
      <c r="F13" s="331"/>
    </row>
    <row r="14" spans="1:6" ht="15.75">
      <c r="A14" s="99" t="s">
        <v>329</v>
      </c>
      <c r="B14" s="82" t="s">
        <v>331</v>
      </c>
      <c r="C14" s="108">
        <v>3000</v>
      </c>
      <c r="D14" s="108">
        <v>3000</v>
      </c>
      <c r="E14" s="108">
        <v>3000</v>
      </c>
      <c r="F14" s="143" t="s">
        <v>332</v>
      </c>
    </row>
    <row r="15" spans="1:6" ht="15.75">
      <c r="A15" s="433" t="s">
        <v>142</v>
      </c>
      <c r="B15" s="434"/>
      <c r="C15" s="269">
        <f>SUM(C11:C14)</f>
        <v>100000</v>
      </c>
      <c r="D15" s="269">
        <f>SUM(D11:D14)</f>
        <v>100000</v>
      </c>
      <c r="E15" s="269">
        <f>SUM(E11:E14)</f>
        <v>100000</v>
      </c>
      <c r="F15" s="269">
        <f>SUM(F11:F14)</f>
        <v>0</v>
      </c>
    </row>
    <row r="16" spans="1:6" ht="12.75">
      <c r="A16" s="353"/>
      <c r="B16" s="353"/>
      <c r="C16" s="353"/>
      <c r="D16" s="353"/>
      <c r="E16" s="353"/>
      <c r="F16" s="353"/>
    </row>
  </sheetData>
  <sheetProtection/>
  <mergeCells count="13">
    <mergeCell ref="F11:F12"/>
    <mergeCell ref="A15:B15"/>
    <mergeCell ref="A16:F16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2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46" t="str">
        <f>DADOS!A3</f>
        <v>MUNICIPIO DE QUILOMBO</v>
      </c>
      <c r="B1" s="348"/>
    </row>
    <row r="2" spans="1:2" ht="12.75">
      <c r="A2" s="349" t="s">
        <v>48</v>
      </c>
      <c r="B2" s="348"/>
    </row>
    <row r="3" spans="1:2" ht="12.75">
      <c r="A3" s="349" t="s">
        <v>229</v>
      </c>
      <c r="B3" s="348"/>
    </row>
    <row r="4" spans="1:2" ht="12.75">
      <c r="A4" s="350" t="s">
        <v>291</v>
      </c>
      <c r="B4" s="352"/>
    </row>
    <row r="5" spans="1:2" ht="12.75">
      <c r="A5" s="349" t="str">
        <f>DADOS!A17</f>
        <v>Exercício de 2014</v>
      </c>
      <c r="B5" s="348"/>
    </row>
    <row r="6" spans="1:2" ht="12.75">
      <c r="A6" s="439" t="s">
        <v>319</v>
      </c>
      <c r="B6" s="439"/>
    </row>
    <row r="7" spans="1:2" ht="12.75">
      <c r="A7" s="64" t="s">
        <v>195</v>
      </c>
      <c r="B7" s="103" t="s">
        <v>305</v>
      </c>
    </row>
    <row r="8" spans="1:2" s="67" customFormat="1" ht="25.5" customHeight="1">
      <c r="A8" s="74" t="s">
        <v>200</v>
      </c>
      <c r="B8" s="83">
        <f>DADOS!E32</f>
        <v>2014</v>
      </c>
    </row>
    <row r="9" spans="1:2" ht="15.75">
      <c r="A9" s="276" t="s">
        <v>201</v>
      </c>
      <c r="B9" s="279">
        <f>B10+B11</f>
        <v>2484958.1004981073</v>
      </c>
    </row>
    <row r="10" spans="1:2" ht="15.75">
      <c r="A10" s="87" t="s">
        <v>279</v>
      </c>
      <c r="B10" s="278">
        <f>((Projeções!F10)*(1+Parâmetros!E15)*(1+Parâmetros!E18))-Projeções!F10</f>
        <v>318029.64249810646</v>
      </c>
    </row>
    <row r="11" spans="1:2" ht="15.75">
      <c r="A11" s="87" t="s">
        <v>280</v>
      </c>
      <c r="B11" s="278">
        <f>((Projeções!F18)*(1+Parâmetros!E15)*(1+Parâmetros!E19))-Projeções!F18</f>
        <v>2166928.4580000006</v>
      </c>
    </row>
    <row r="12" spans="1:2" ht="15.75">
      <c r="A12" s="88" t="s">
        <v>300</v>
      </c>
      <c r="B12" s="278">
        <f>((Projeções!F26)*(1+Parâmetros!E15))-Projeções!F26</f>
        <v>-140888.7999999998</v>
      </c>
    </row>
    <row r="13" spans="1:2" ht="15.75">
      <c r="A13" s="277" t="s">
        <v>202</v>
      </c>
      <c r="B13" s="280">
        <f>B9+B12</f>
        <v>2344069.3004981074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2344069.3004981074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1481349.361105701</v>
      </c>
    </row>
    <row r="18" spans="1:2" ht="15.75">
      <c r="A18" s="88" t="s">
        <v>281</v>
      </c>
      <c r="B18" s="278">
        <f>((Projeções!F34)*(1+Parâmetros!E16)*(1+Parâmetros!E20))-Projeções!F34</f>
        <v>540804.4456556998</v>
      </c>
    </row>
    <row r="19" spans="1:2" ht="15.75">
      <c r="A19" s="88" t="s">
        <v>282</v>
      </c>
      <c r="B19" s="278">
        <f>((Projeções!F36)*(1+Parâmetros!E15)*(1+Parâmetros!E17))-Projeções!F36</f>
        <v>940544.9154500011</v>
      </c>
    </row>
    <row r="20" spans="1:2" ht="15.75">
      <c r="A20" s="277" t="s">
        <v>207</v>
      </c>
      <c r="B20" s="282">
        <f>IF(B15-B16-B17&lt;0,"SEM MARGEM",B15-B16-B17)</f>
        <v>862719.9393924065</v>
      </c>
    </row>
    <row r="21" spans="1:2" ht="12.75">
      <c r="A21" s="353"/>
      <c r="B21" s="353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342</v>
      </c>
    </row>
    <row r="27" ht="12.75">
      <c r="A27" s="283" t="s">
        <v>343</v>
      </c>
    </row>
    <row r="28" ht="12.75">
      <c r="A28" s="283" t="s">
        <v>344</v>
      </c>
    </row>
    <row r="29" ht="12.75">
      <c r="A29" t="s">
        <v>287</v>
      </c>
    </row>
    <row r="30" ht="12.75">
      <c r="A30" t="s">
        <v>288</v>
      </c>
    </row>
    <row r="31" ht="12.75">
      <c r="A31" t="s">
        <v>289</v>
      </c>
    </row>
    <row r="32" ht="12.75">
      <c r="A32" t="s">
        <v>290</v>
      </c>
    </row>
    <row r="33" ht="12.75">
      <c r="A33" t="s">
        <v>292</v>
      </c>
    </row>
    <row r="34" ht="12.75">
      <c r="A34" t="s">
        <v>293</v>
      </c>
    </row>
    <row r="35" ht="12.75">
      <c r="A35" t="s">
        <v>294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95" zoomScalePageLayoutView="0" workbookViewId="0" topLeftCell="A4">
      <selection activeCell="A23" sqref="A2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0" t="s">
        <v>215</v>
      </c>
      <c r="B1" s="440"/>
      <c r="C1" s="440"/>
      <c r="D1" s="440"/>
    </row>
    <row r="2" spans="1:4" ht="12.75">
      <c r="A2" s="440"/>
      <c r="B2" s="440"/>
      <c r="C2" s="440"/>
      <c r="D2" s="440"/>
    </row>
    <row r="3" spans="1:4" ht="12.75">
      <c r="A3" s="441" t="str">
        <f>DADOS!A3</f>
        <v>MUNICIPIO DE QUILOMBO</v>
      </c>
      <c r="B3" s="442"/>
      <c r="C3" s="442"/>
      <c r="D3" s="442"/>
    </row>
    <row r="4" spans="1:4" ht="12.75">
      <c r="A4" s="442" t="s">
        <v>48</v>
      </c>
      <c r="B4" s="442"/>
      <c r="C4" s="442"/>
      <c r="D4" s="442"/>
    </row>
    <row r="5" spans="1:4" ht="12.75">
      <c r="A5" s="442" t="s">
        <v>273</v>
      </c>
      <c r="B5" s="442"/>
      <c r="C5" s="442"/>
      <c r="D5" s="442"/>
    </row>
    <row r="6" spans="1:4" ht="21" customHeight="1">
      <c r="A6" s="443" t="s">
        <v>208</v>
      </c>
      <c r="B6" s="443"/>
      <c r="C6" s="443"/>
      <c r="D6" s="443"/>
    </row>
    <row r="7" spans="1:4" ht="12.75">
      <c r="A7" s="442" t="str">
        <f>DADOS!A17</f>
        <v>Exercício de 2014</v>
      </c>
      <c r="B7" s="442"/>
      <c r="C7" s="442"/>
      <c r="D7" s="442"/>
    </row>
    <row r="8" spans="1:4" ht="12.75">
      <c r="A8" s="444"/>
      <c r="B8" s="444"/>
      <c r="C8" s="444"/>
      <c r="D8" s="444"/>
    </row>
    <row r="9" spans="1:4" ht="12.75">
      <c r="A9" s="445" t="s">
        <v>209</v>
      </c>
      <c r="B9" s="445"/>
      <c r="C9" s="446">
        <v>1</v>
      </c>
      <c r="D9" s="447"/>
    </row>
    <row r="10" spans="1:4" ht="12.75">
      <c r="A10" s="448" t="s">
        <v>210</v>
      </c>
      <c r="B10" s="449"/>
      <c r="C10" s="450" t="s">
        <v>211</v>
      </c>
      <c r="D10" s="448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334</v>
      </c>
      <c r="B12" s="144"/>
      <c r="C12" s="99" t="s">
        <v>336</v>
      </c>
      <c r="D12" s="146"/>
    </row>
    <row r="13" spans="1:4" ht="12.75">
      <c r="A13" s="99" t="s">
        <v>337</v>
      </c>
      <c r="B13" s="144"/>
      <c r="C13" s="99" t="s">
        <v>335</v>
      </c>
      <c r="D13" s="146">
        <v>260000</v>
      </c>
    </row>
    <row r="14" spans="1:4" ht="12.75">
      <c r="A14" s="99" t="s">
        <v>338</v>
      </c>
      <c r="B14" s="144">
        <v>260000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260000</v>
      </c>
      <c r="C17" s="102" t="s">
        <v>142</v>
      </c>
      <c r="D17" s="270">
        <f>SUM(D12:D16)</f>
        <v>260000</v>
      </c>
    </row>
    <row r="18" spans="1:4" ht="12.75">
      <c r="A18" s="294"/>
      <c r="B18" s="100"/>
      <c r="C18" s="100"/>
      <c r="D18" s="100"/>
    </row>
    <row r="21" ht="12.75">
      <c r="A21" s="325" t="s">
        <v>319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SheetLayoutView="80" zoomScalePageLayoutView="0" workbookViewId="0" topLeftCell="A22">
      <selection activeCell="F44" sqref="F44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2010</v>
      </c>
      <c r="D1" s="321">
        <f>DADOS!$E$32-3</f>
        <v>2011</v>
      </c>
      <c r="E1" s="321">
        <f>DADOS!$E$32-2</f>
        <v>2012</v>
      </c>
      <c r="F1" s="321">
        <f>DADOS!$E$32-1</f>
        <v>2013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19141887.34</v>
      </c>
      <c r="D3" s="176">
        <f>D4+D5+D6+D9+D10+D11+D12+D13</f>
        <v>22075315.26</v>
      </c>
      <c r="E3" s="176">
        <f>E4+E5+E6+E9+E10+E11+E12+E13</f>
        <v>23778866.799999997</v>
      </c>
      <c r="F3" s="176">
        <f>F4+F5+F6+F9+F10+F11+F12+F13</f>
        <v>26136000</v>
      </c>
    </row>
    <row r="4" spans="1:6" s="43" customFormat="1" ht="12.75">
      <c r="A4" s="167" t="s">
        <v>58</v>
      </c>
      <c r="B4" s="168" t="s">
        <v>59</v>
      </c>
      <c r="C4" s="178">
        <v>881935</v>
      </c>
      <c r="D4" s="178">
        <v>1030640.9</v>
      </c>
      <c r="E4" s="178">
        <v>1422479.51</v>
      </c>
      <c r="F4" s="178">
        <v>1662600</v>
      </c>
    </row>
    <row r="5" spans="1:6" s="43" customFormat="1" ht="12.75">
      <c r="A5" s="167" t="s">
        <v>60</v>
      </c>
      <c r="B5" s="168" t="s">
        <v>61</v>
      </c>
      <c r="C5" s="178">
        <v>98742.54</v>
      </c>
      <c r="D5" s="178">
        <v>110162.74</v>
      </c>
      <c r="E5" s="178">
        <v>126661.84</v>
      </c>
      <c r="F5" s="178">
        <v>123000</v>
      </c>
    </row>
    <row r="6" spans="1:6" s="43" customFormat="1" ht="12.75">
      <c r="A6" s="167" t="s">
        <v>62</v>
      </c>
      <c r="B6" s="168" t="s">
        <v>3</v>
      </c>
      <c r="C6" s="176">
        <f>C7+C8</f>
        <v>105164.56</v>
      </c>
      <c r="D6" s="176">
        <f>D7+D8</f>
        <v>281042.72</v>
      </c>
      <c r="E6" s="176">
        <f>E7+E8</f>
        <v>155366.72999999998</v>
      </c>
      <c r="F6" s="176">
        <f>F7+F8</f>
        <v>222200</v>
      </c>
    </row>
    <row r="7" spans="1:6" ht="12.75">
      <c r="A7" s="167" t="s">
        <v>63</v>
      </c>
      <c r="B7" s="168" t="s">
        <v>247</v>
      </c>
      <c r="C7" s="178">
        <v>95789.53</v>
      </c>
      <c r="D7" s="178">
        <v>177558.1</v>
      </c>
      <c r="E7" s="178">
        <v>113042.92</v>
      </c>
      <c r="F7" s="178">
        <v>162200</v>
      </c>
    </row>
    <row r="8" spans="1:6" ht="12.75">
      <c r="A8" s="167" t="s">
        <v>64</v>
      </c>
      <c r="B8" s="168" t="s">
        <v>65</v>
      </c>
      <c r="C8" s="178">
        <v>9375.03</v>
      </c>
      <c r="D8" s="178">
        <v>103484.62</v>
      </c>
      <c r="E8" s="178">
        <v>42323.81</v>
      </c>
      <c r="F8" s="178">
        <v>60000</v>
      </c>
    </row>
    <row r="9" spans="1:6" ht="12.75">
      <c r="A9" s="167" t="s">
        <v>66</v>
      </c>
      <c r="B9" s="168" t="s">
        <v>67</v>
      </c>
      <c r="C9" s="178">
        <v>0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1846581.07</v>
      </c>
      <c r="D11" s="178">
        <v>44279.94</v>
      </c>
      <c r="E11" s="178">
        <v>50409.03</v>
      </c>
      <c r="F11" s="178">
        <v>266600</v>
      </c>
    </row>
    <row r="12" spans="1:6" s="43" customFormat="1" ht="12.75">
      <c r="A12" s="167" t="s">
        <v>71</v>
      </c>
      <c r="B12" s="168" t="s">
        <v>72</v>
      </c>
      <c r="C12" s="178">
        <v>16021961.19</v>
      </c>
      <c r="D12" s="178">
        <v>20395393.04</v>
      </c>
      <c r="E12" s="178">
        <v>21930196.95</v>
      </c>
      <c r="F12" s="178">
        <v>23473200</v>
      </c>
    </row>
    <row r="13" spans="1:6" s="43" customFormat="1" ht="12.75">
      <c r="A13" s="167" t="s">
        <v>73</v>
      </c>
      <c r="B13" s="168" t="s">
        <v>5</v>
      </c>
      <c r="C13" s="178">
        <v>187502.98</v>
      </c>
      <c r="D13" s="178">
        <v>213795.92</v>
      </c>
      <c r="E13" s="178">
        <v>93752.74</v>
      </c>
      <c r="F13" s="178">
        <v>385400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967151.69</v>
      </c>
      <c r="D14" s="176">
        <f>D15+D16+D17+D18+D19</f>
        <v>1054544.95</v>
      </c>
      <c r="E14" s="176">
        <f>E15+E16+E17+E18+E19</f>
        <v>3088854.05</v>
      </c>
      <c r="F14" s="176">
        <f>F15+F16+F17+F18+F19</f>
        <v>267000</v>
      </c>
    </row>
    <row r="15" spans="1:6" s="43" customFormat="1" ht="12.75">
      <c r="A15" s="167" t="s">
        <v>76</v>
      </c>
      <c r="B15" s="168" t="s">
        <v>77</v>
      </c>
      <c r="C15" s="178">
        <v>0</v>
      </c>
      <c r="D15" s="178">
        <v>0</v>
      </c>
      <c r="E15" s="178">
        <v>1170500</v>
      </c>
      <c r="F15" s="178">
        <v>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12000</v>
      </c>
      <c r="E16" s="178">
        <v>33351.98</v>
      </c>
      <c r="F16" s="178">
        <v>64000</v>
      </c>
    </row>
    <row r="17" spans="1:6" ht="12.75">
      <c r="A17" s="167" t="s">
        <v>80</v>
      </c>
      <c r="B17" s="168" t="s">
        <v>81</v>
      </c>
      <c r="C17" s="178">
        <v>122764.82</v>
      </c>
      <c r="D17" s="178">
        <v>164879.73</v>
      </c>
      <c r="E17" s="178">
        <v>80479.45</v>
      </c>
      <c r="F17" s="178">
        <v>203000</v>
      </c>
    </row>
    <row r="18" spans="1:6" s="43" customFormat="1" ht="12.75">
      <c r="A18" s="167" t="s">
        <v>82</v>
      </c>
      <c r="B18" s="168" t="s">
        <v>83</v>
      </c>
      <c r="C18" s="178">
        <v>844386.87</v>
      </c>
      <c r="D18" s="178">
        <v>877665.22</v>
      </c>
      <c r="E18" s="178">
        <v>1804522.62</v>
      </c>
      <c r="F18" s="178">
        <v>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-2371448.04</v>
      </c>
      <c r="D20" s="178">
        <v>-2752288.43</v>
      </c>
      <c r="E20" s="178">
        <v>-2794569.47</v>
      </c>
      <c r="F20" s="178">
        <v>-3496000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17737590.990000002</v>
      </c>
      <c r="D22" s="176">
        <f>D3+D14+D20</f>
        <v>20377571.78</v>
      </c>
      <c r="E22" s="176">
        <f>E3+E14+E20</f>
        <v>24073151.38</v>
      </c>
      <c r="F22" s="176">
        <f>F3+F14+F20</f>
        <v>22907000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2010</v>
      </c>
      <c r="D24" s="50">
        <f>D1</f>
        <v>2011</v>
      </c>
      <c r="E24" s="50">
        <f>E1</f>
        <v>2012</v>
      </c>
      <c r="F24" s="50">
        <f>F1</f>
        <v>2013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15926022.69</v>
      </c>
      <c r="D26" s="176">
        <f>D27+D28+D29</f>
        <v>18078796.33</v>
      </c>
      <c r="E26" s="176">
        <f>E27+E28+E29</f>
        <v>20308534.951</v>
      </c>
      <c r="F26" s="176">
        <f>F27+F28+F29</f>
        <v>21407100</v>
      </c>
    </row>
    <row r="27" spans="1:6" s="43" customFormat="1" ht="12.75">
      <c r="A27" s="161" t="s">
        <v>87</v>
      </c>
      <c r="B27" s="171" t="s">
        <v>88</v>
      </c>
      <c r="C27" s="178">
        <v>8025902.31</v>
      </c>
      <c r="D27" s="178">
        <v>9270329.03</v>
      </c>
      <c r="E27" s="178">
        <v>10240916.06</v>
      </c>
      <c r="F27" s="178">
        <v>11081670</v>
      </c>
    </row>
    <row r="28" spans="1:6" ht="12.75">
      <c r="A28" s="162" t="s">
        <v>89</v>
      </c>
      <c r="B28" s="171" t="s">
        <v>259</v>
      </c>
      <c r="C28" s="178">
        <v>43596.12</v>
      </c>
      <c r="D28" s="178">
        <v>13795.64</v>
      </c>
      <c r="E28" s="178">
        <v>63167.321</v>
      </c>
      <c r="F28" s="178">
        <v>137000</v>
      </c>
    </row>
    <row r="29" spans="1:6" s="43" customFormat="1" ht="12.75">
      <c r="A29" s="161" t="s">
        <v>91</v>
      </c>
      <c r="B29" s="171" t="s">
        <v>92</v>
      </c>
      <c r="C29" s="178">
        <v>7856524.26</v>
      </c>
      <c r="D29" s="178">
        <v>8794671.66</v>
      </c>
      <c r="E29" s="178">
        <v>10004451.57</v>
      </c>
      <c r="F29" s="178">
        <v>10188430</v>
      </c>
    </row>
    <row r="30" spans="1:6" s="43" customFormat="1" ht="12.75">
      <c r="A30" s="161" t="s">
        <v>93</v>
      </c>
      <c r="B30" s="174" t="s">
        <v>8</v>
      </c>
      <c r="C30" s="176">
        <f>C31+C32+C35</f>
        <v>2051808.62</v>
      </c>
      <c r="D30" s="176">
        <f>D31+D32+D35</f>
        <v>1308539.5</v>
      </c>
      <c r="E30" s="176">
        <f>E31+E32+E35</f>
        <v>4003245.58</v>
      </c>
      <c r="F30" s="176">
        <f>F31+F32+F35</f>
        <v>1269900</v>
      </c>
    </row>
    <row r="31" spans="1:6" s="43" customFormat="1" ht="12.75">
      <c r="A31" s="161" t="s">
        <v>94</v>
      </c>
      <c r="B31" s="171" t="s">
        <v>9</v>
      </c>
      <c r="C31" s="178">
        <v>1512150.54</v>
      </c>
      <c r="D31" s="178">
        <v>1235477.03</v>
      </c>
      <c r="E31" s="178">
        <v>3958778.12</v>
      </c>
      <c r="F31" s="178">
        <v>944900</v>
      </c>
    </row>
    <row r="32" spans="1:6" s="43" customFormat="1" ht="12.75">
      <c r="A32" s="161" t="s">
        <v>95</v>
      </c>
      <c r="B32" s="171" t="s">
        <v>10</v>
      </c>
      <c r="C32" s="176">
        <f>C33+C34</f>
        <v>165800</v>
      </c>
      <c r="D32" s="176">
        <f>D33+D34</f>
        <v>0</v>
      </c>
      <c r="E32" s="176">
        <f>E33+E34</f>
        <v>0</v>
      </c>
      <c r="F32" s="176">
        <f>F33+F34</f>
        <v>5000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165800</v>
      </c>
      <c r="D34" s="178">
        <v>0</v>
      </c>
      <c r="E34" s="178">
        <v>0</v>
      </c>
      <c r="F34" s="178">
        <v>5000</v>
      </c>
    </row>
    <row r="35" spans="1:6" s="43" customFormat="1" ht="12.75">
      <c r="A35" s="161" t="s">
        <v>98</v>
      </c>
      <c r="B35" s="171" t="s">
        <v>99</v>
      </c>
      <c r="C35" s="178">
        <v>373858.08</v>
      </c>
      <c r="D35" s="178">
        <v>73062.47</v>
      </c>
      <c r="E35" s="178">
        <v>44467.46</v>
      </c>
      <c r="F35" s="178">
        <v>320000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230000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17977831.31</v>
      </c>
      <c r="D39" s="176">
        <f>D26+D30+D37</f>
        <v>19387335.83</v>
      </c>
      <c r="E39" s="176">
        <f>E26+E30+E37</f>
        <v>24311780.531000003</v>
      </c>
      <c r="F39" s="176">
        <f>F26+F30+F37</f>
        <v>22907000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2010</v>
      </c>
      <c r="D41" s="47">
        <f>D24</f>
        <v>2011</v>
      </c>
      <c r="E41" s="47">
        <f>E24</f>
        <v>2012</v>
      </c>
      <c r="F41" s="48">
        <f>F24</f>
        <v>2013</v>
      </c>
    </row>
    <row r="42" spans="1:6" s="43" customFormat="1" ht="12.75">
      <c r="A42" s="165"/>
      <c r="B42" s="171" t="s">
        <v>299</v>
      </c>
      <c r="C42" s="177">
        <v>16638190</v>
      </c>
      <c r="D42" s="177">
        <v>20910000</v>
      </c>
      <c r="E42" s="177">
        <v>16638190</v>
      </c>
      <c r="F42" s="177">
        <v>22907000</v>
      </c>
    </row>
    <row r="43" spans="1:6" ht="12.75">
      <c r="A43" s="162"/>
      <c r="B43" s="171" t="s">
        <v>217</v>
      </c>
      <c r="C43" s="180">
        <v>117590</v>
      </c>
      <c r="D43" s="180">
        <v>41590</v>
      </c>
      <c r="E43" s="180">
        <v>117590</v>
      </c>
      <c r="F43" s="180">
        <v>162200</v>
      </c>
    </row>
    <row r="44" spans="1:6" ht="12.75">
      <c r="A44" s="162"/>
      <c r="B44" s="171" t="s">
        <v>218</v>
      </c>
      <c r="C44" s="180">
        <v>0</v>
      </c>
      <c r="D44" s="180">
        <v>1400000</v>
      </c>
      <c r="E44" s="180">
        <v>0</v>
      </c>
      <c r="F44" s="180">
        <v>0</v>
      </c>
    </row>
    <row r="45" spans="1:6" ht="12.75">
      <c r="A45" s="162"/>
      <c r="B45" s="171" t="s">
        <v>219</v>
      </c>
      <c r="C45" s="180">
        <v>15000</v>
      </c>
      <c r="D45" s="180">
        <v>0</v>
      </c>
      <c r="E45" s="180">
        <v>0</v>
      </c>
      <c r="F45" s="180">
        <v>64000</v>
      </c>
    </row>
    <row r="46" spans="1:6" ht="12.75">
      <c r="A46" s="162"/>
      <c r="B46" s="171" t="s">
        <v>224</v>
      </c>
      <c r="C46" s="180">
        <v>75500</v>
      </c>
      <c r="D46" s="180">
        <v>110000</v>
      </c>
      <c r="E46" s="180">
        <v>75500</v>
      </c>
      <c r="F46" s="180">
        <v>203000</v>
      </c>
    </row>
    <row r="47" spans="1:6" s="43" customFormat="1" ht="12.75">
      <c r="A47" s="165"/>
      <c r="B47" s="171" t="s">
        <v>220</v>
      </c>
      <c r="C47" s="177">
        <v>16638190</v>
      </c>
      <c r="D47" s="177">
        <v>20910000</v>
      </c>
      <c r="E47" s="177">
        <v>16638190</v>
      </c>
      <c r="F47" s="177">
        <v>22907000</v>
      </c>
    </row>
    <row r="48" spans="1:6" ht="12.75">
      <c r="A48" s="162"/>
      <c r="B48" s="171" t="s">
        <v>90</v>
      </c>
      <c r="C48" s="180">
        <v>78000</v>
      </c>
      <c r="D48" s="180">
        <v>50000</v>
      </c>
      <c r="E48" s="180">
        <v>16000</v>
      </c>
      <c r="F48" s="180">
        <v>137000</v>
      </c>
    </row>
    <row r="49" spans="1:6" ht="12.75">
      <c r="A49" s="162"/>
      <c r="B49" s="171" t="s">
        <v>221</v>
      </c>
      <c r="C49" s="180">
        <v>360000</v>
      </c>
      <c r="D49" s="180">
        <v>400000</v>
      </c>
      <c r="E49" s="180">
        <v>48000</v>
      </c>
      <c r="F49" s="180">
        <v>320000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90" zoomScaleNormal="90" zoomScalePageLayoutView="0" workbookViewId="0" topLeftCell="A8">
      <selection activeCell="B24" sqref="B24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318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4"/>
      <c r="C5" s="234">
        <f>DADOS!$E$32-3</f>
        <v>2011</v>
      </c>
      <c r="D5" s="234">
        <f>DADOS!$E$32-2</f>
        <v>2012</v>
      </c>
      <c r="E5" s="234">
        <f>DADOS!$E$32-1</f>
        <v>2013</v>
      </c>
      <c r="F5" s="234">
        <f>DADOS!$E$32-0</f>
        <v>2014</v>
      </c>
      <c r="G5" s="234">
        <f>DADOS!$E$32+1</f>
        <v>2015</v>
      </c>
      <c r="H5" s="234">
        <f>DADOS!$E$32+2</f>
        <v>2016</v>
      </c>
    </row>
    <row r="6" spans="2:8" ht="15.75">
      <c r="B6" s="345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311347.7</v>
      </c>
      <c r="D7" s="123">
        <v>1437380.46</v>
      </c>
      <c r="E7" s="123">
        <v>1117380</v>
      </c>
      <c r="F7" s="238">
        <f>E7-Projeções!G35-Projeções!G42</f>
        <v>658380</v>
      </c>
      <c r="G7" s="238">
        <f>F7+Projeções!H21-Projeções!H35-Projeções!H42</f>
        <v>188380</v>
      </c>
      <c r="H7" s="238">
        <f>G7+Projeções!I21-Projeções!I35-Projeções!I42</f>
        <v>-299620</v>
      </c>
    </row>
    <row r="8" spans="2:8" ht="15">
      <c r="B8" s="51" t="s">
        <v>278</v>
      </c>
      <c r="C8" s="122">
        <v>2211121.31</v>
      </c>
      <c r="D8" s="122">
        <v>2915916.75</v>
      </c>
      <c r="E8" s="122">
        <v>320000</v>
      </c>
      <c r="F8" s="231">
        <f>E8+Projeções!G28+Projeções!G43-Projeções!G44</f>
        <v>580000</v>
      </c>
      <c r="G8" s="231">
        <f>F8+Projeções!H28+Projeções!H43-Projeções!H44</f>
        <v>860000</v>
      </c>
      <c r="H8" s="231">
        <f>G8+Projeções!I28+Projeções!I43-Projeções!I44</f>
        <v>1170000</v>
      </c>
    </row>
    <row r="9" spans="2:8" ht="22.5" customHeight="1">
      <c r="B9" s="60" t="s">
        <v>128</v>
      </c>
      <c r="C9" s="231">
        <f aca="true" t="shared" si="0" ref="C9:H9">C7-C8</f>
        <v>-1899773.61</v>
      </c>
      <c r="D9" s="231">
        <f t="shared" si="0"/>
        <v>-1478536.29</v>
      </c>
      <c r="E9" s="231">
        <f t="shared" si="0"/>
        <v>797380</v>
      </c>
      <c r="F9" s="231">
        <f t="shared" si="0"/>
        <v>78380</v>
      </c>
      <c r="G9" s="231">
        <f t="shared" si="0"/>
        <v>-671620</v>
      </c>
      <c r="H9" s="231">
        <f t="shared" si="0"/>
        <v>-1469620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421237.32000000007</v>
      </c>
      <c r="E10" s="232">
        <f>E9-D9</f>
        <v>2275916.29</v>
      </c>
      <c r="F10" s="232">
        <f>F9-E9</f>
        <v>-719000</v>
      </c>
      <c r="G10" s="232">
        <f>G9-F9</f>
        <v>-750000</v>
      </c>
      <c r="H10" s="232">
        <f>H9-G9</f>
        <v>-798000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4" t="s">
        <v>321</v>
      </c>
      <c r="C13" s="234">
        <f aca="true" t="shared" si="1" ref="C13:H13">C5</f>
        <v>2011</v>
      </c>
      <c r="D13" s="234">
        <f t="shared" si="1"/>
        <v>2012</v>
      </c>
      <c r="E13" s="234">
        <f t="shared" si="1"/>
        <v>2013</v>
      </c>
      <c r="F13" s="234">
        <f t="shared" si="1"/>
        <v>2014</v>
      </c>
      <c r="G13" s="234">
        <f t="shared" si="1"/>
        <v>2015</v>
      </c>
      <c r="H13" s="234">
        <f t="shared" si="1"/>
        <v>2016</v>
      </c>
    </row>
    <row r="14" spans="2:8" ht="15.75">
      <c r="B14" s="345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1170500</v>
      </c>
      <c r="E15" s="246">
        <f>Plano!F15</f>
        <v>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13795.64</v>
      </c>
      <c r="D16" s="248">
        <f>Plano!E28</f>
        <v>63167.321</v>
      </c>
      <c r="E16" s="248">
        <f>Plano!F28</f>
        <v>137000</v>
      </c>
      <c r="F16" s="248">
        <f>Projeções!G35</f>
        <v>112000</v>
      </c>
      <c r="G16" s="248">
        <f>Projeções!H35</f>
        <v>115000</v>
      </c>
      <c r="H16" s="248">
        <f>Projeções!I35</f>
        <v>118000</v>
      </c>
    </row>
    <row r="17" spans="2:8" ht="15.75">
      <c r="B17" s="60" t="s">
        <v>52</v>
      </c>
      <c r="C17" s="248">
        <f>Plano!D35</f>
        <v>73062.47</v>
      </c>
      <c r="D17" s="248">
        <f>Plano!E35</f>
        <v>44467.46</v>
      </c>
      <c r="E17" s="248">
        <f>Plano!F35</f>
        <v>320000</v>
      </c>
      <c r="F17" s="248">
        <f>Projeções!G42</f>
        <v>347000</v>
      </c>
      <c r="G17" s="248">
        <f>Projeções!H42</f>
        <v>355000</v>
      </c>
      <c r="H17" s="248">
        <f>Projeções!I42</f>
        <v>370000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341</v>
      </c>
      <c r="D24" s="233"/>
    </row>
    <row r="25" spans="2:4" ht="15.75">
      <c r="B25" s="158" t="s">
        <v>323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zoomScaleSheetLayoutView="100" zoomScalePageLayoutView="0" workbookViewId="0" topLeftCell="A16">
      <selection activeCell="I41" sqref="I41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2010</v>
      </c>
      <c r="D7" s="194">
        <f>Plano!D1</f>
        <v>2011</v>
      </c>
      <c r="E7" s="194">
        <f>Plano!E1</f>
        <v>2012</v>
      </c>
      <c r="F7" s="194">
        <f>Plano!F1</f>
        <v>2013</v>
      </c>
      <c r="G7" s="194">
        <f>F7+1</f>
        <v>2014</v>
      </c>
      <c r="H7" s="195">
        <f>G7+1</f>
        <v>2015</v>
      </c>
      <c r="I7" s="196">
        <f>H7+1</f>
        <v>2016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19141887.34</v>
      </c>
      <c r="D9" s="228">
        <f>Plano!D3</f>
        <v>22075315.26</v>
      </c>
      <c r="E9" s="228">
        <f>Plano!E3</f>
        <v>23778866.799999997</v>
      </c>
      <c r="F9" s="228">
        <f>Plano!F3</f>
        <v>26136000</v>
      </c>
      <c r="G9" s="228">
        <f>G10+G11+G12+G15+G16+G17+G18+G19</f>
        <v>28164200</v>
      </c>
      <c r="H9" s="228">
        <f>H10+H11+H12+H15+H16+H17+H18+H19</f>
        <v>31206200</v>
      </c>
      <c r="I9" s="228">
        <f>I10+I11+I12+I15+I16+I17+I18+I19</f>
        <v>33907400</v>
      </c>
    </row>
    <row r="10" spans="1:9" s="45" customFormat="1" ht="12.75">
      <c r="A10" s="165" t="s">
        <v>58</v>
      </c>
      <c r="B10" s="166" t="s">
        <v>59</v>
      </c>
      <c r="C10" s="274">
        <f>Plano!C4</f>
        <v>881935</v>
      </c>
      <c r="D10" s="274">
        <f>Plano!D4</f>
        <v>1030640.9</v>
      </c>
      <c r="E10" s="274">
        <f>Plano!E4</f>
        <v>1422479.51</v>
      </c>
      <c r="F10" s="274">
        <f>Plano!F4</f>
        <v>1662600</v>
      </c>
      <c r="G10" s="274">
        <v>1645100</v>
      </c>
      <c r="H10" s="274">
        <v>2402200</v>
      </c>
      <c r="I10" s="274">
        <v>2351700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98742.54</v>
      </c>
      <c r="D11" s="274">
        <f>Plano!D5</f>
        <v>110162.74</v>
      </c>
      <c r="E11" s="274">
        <f>Plano!E5</f>
        <v>126661.84</v>
      </c>
      <c r="F11" s="274">
        <f>Plano!F5</f>
        <v>123000</v>
      </c>
      <c r="G11" s="274">
        <v>135000</v>
      </c>
      <c r="H11" s="274">
        <v>150000</v>
      </c>
      <c r="I11" s="274">
        <v>165000</v>
      </c>
    </row>
    <row r="12" spans="1:9" s="45" customFormat="1" ht="12.75">
      <c r="A12" s="165" t="s">
        <v>62</v>
      </c>
      <c r="B12" s="166" t="s">
        <v>3</v>
      </c>
      <c r="C12" s="228">
        <f>Plano!C6</f>
        <v>105164.56</v>
      </c>
      <c r="D12" s="228">
        <f>Plano!D6</f>
        <v>281042.72</v>
      </c>
      <c r="E12" s="228">
        <f>Plano!E6</f>
        <v>155366.72999999998</v>
      </c>
      <c r="F12" s="228">
        <f>Plano!F6</f>
        <v>222200</v>
      </c>
      <c r="G12" s="228">
        <f>G13+G14</f>
        <v>459320</v>
      </c>
      <c r="H12" s="228">
        <f>H13+H14</f>
        <v>417500</v>
      </c>
      <c r="I12" s="228">
        <f>I13+I14</f>
        <v>371060</v>
      </c>
    </row>
    <row r="13" spans="1:9" ht="12.75">
      <c r="A13" s="224" t="s">
        <v>63</v>
      </c>
      <c r="B13" s="225" t="s">
        <v>247</v>
      </c>
      <c r="C13" s="274">
        <f>Plano!C7</f>
        <v>95789.53</v>
      </c>
      <c r="D13" s="274">
        <f>Plano!D7</f>
        <v>177558.1</v>
      </c>
      <c r="E13" s="274">
        <f>Plano!E7</f>
        <v>113042.92</v>
      </c>
      <c r="F13" s="274">
        <f>Plano!F7</f>
        <v>162200</v>
      </c>
      <c r="G13" s="274">
        <v>234320</v>
      </c>
      <c r="H13" s="274">
        <v>252500</v>
      </c>
      <c r="I13" s="274">
        <v>276060</v>
      </c>
    </row>
    <row r="14" spans="1:9" ht="12.75">
      <c r="A14" s="224" t="s">
        <v>64</v>
      </c>
      <c r="B14" s="225" t="s">
        <v>65</v>
      </c>
      <c r="C14" s="274">
        <f>Plano!C8</f>
        <v>9375.03</v>
      </c>
      <c r="D14" s="274">
        <f>Plano!D8</f>
        <v>103484.62</v>
      </c>
      <c r="E14" s="274">
        <f>Plano!E8</f>
        <v>42323.81</v>
      </c>
      <c r="F14" s="274">
        <f>Plano!F8</f>
        <v>60000</v>
      </c>
      <c r="G14" s="274">
        <v>225000</v>
      </c>
      <c r="H14" s="274">
        <v>165000</v>
      </c>
      <c r="I14" s="274">
        <v>95000</v>
      </c>
    </row>
    <row r="15" spans="1:9" ht="12.75">
      <c r="A15" s="165" t="s">
        <v>66</v>
      </c>
      <c r="B15" s="166" t="s">
        <v>67</v>
      </c>
      <c r="C15" s="274">
        <f>Plano!C9</f>
        <v>0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20000</v>
      </c>
      <c r="H15" s="274">
        <v>20000</v>
      </c>
      <c r="I15" s="274">
        <v>20000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v>0</v>
      </c>
      <c r="H16" s="274">
        <v>0</v>
      </c>
      <c r="I16" s="274">
        <v>0</v>
      </c>
    </row>
    <row r="17" spans="1:9" ht="12.75">
      <c r="A17" s="165" t="s">
        <v>69</v>
      </c>
      <c r="B17" s="166" t="s">
        <v>70</v>
      </c>
      <c r="C17" s="274">
        <f>Plano!C11</f>
        <v>1846581.07</v>
      </c>
      <c r="D17" s="274">
        <f>Plano!D11</f>
        <v>44279.94</v>
      </c>
      <c r="E17" s="274">
        <f>Plano!E11</f>
        <v>50409.03</v>
      </c>
      <c r="F17" s="274">
        <f>Plano!F11</f>
        <v>266600</v>
      </c>
      <c r="G17" s="274">
        <v>168000</v>
      </c>
      <c r="H17" s="274">
        <v>183500</v>
      </c>
      <c r="I17" s="274">
        <v>204000</v>
      </c>
    </row>
    <row r="18" spans="1:9" s="45" customFormat="1" ht="12.75">
      <c r="A18" s="165" t="s">
        <v>71</v>
      </c>
      <c r="B18" s="166" t="s">
        <v>72</v>
      </c>
      <c r="C18" s="274">
        <f>Plano!C12</f>
        <v>16021961.19</v>
      </c>
      <c r="D18" s="274">
        <f>Plano!D12</f>
        <v>20395393.04</v>
      </c>
      <c r="E18" s="274">
        <f>Plano!E12</f>
        <v>21930196.95</v>
      </c>
      <c r="F18" s="274">
        <f>Plano!F12</f>
        <v>23473200</v>
      </c>
      <c r="G18" s="274">
        <v>25299830</v>
      </c>
      <c r="H18" s="274">
        <v>27576460</v>
      </c>
      <c r="I18" s="274">
        <v>30318610</v>
      </c>
    </row>
    <row r="19" spans="1:9" s="45" customFormat="1" ht="12.75">
      <c r="A19" s="165" t="s">
        <v>73</v>
      </c>
      <c r="B19" s="166" t="s">
        <v>5</v>
      </c>
      <c r="C19" s="274">
        <f>Plano!C13</f>
        <v>187502.98</v>
      </c>
      <c r="D19" s="274">
        <f>Plano!D13</f>
        <v>213795.92</v>
      </c>
      <c r="E19" s="274">
        <f>Plano!E13</f>
        <v>93752.74</v>
      </c>
      <c r="F19" s="274">
        <f>Plano!F13</f>
        <v>385400</v>
      </c>
      <c r="G19" s="274">
        <v>436950</v>
      </c>
      <c r="H19" s="274">
        <v>456540</v>
      </c>
      <c r="I19" s="274">
        <v>477030</v>
      </c>
    </row>
    <row r="20" spans="1:9" s="45" customFormat="1" ht="12.75">
      <c r="A20" s="165" t="s">
        <v>74</v>
      </c>
      <c r="B20" s="166" t="s">
        <v>75</v>
      </c>
      <c r="C20" s="228">
        <f>Plano!C14</f>
        <v>967151.69</v>
      </c>
      <c r="D20" s="228">
        <f>Plano!D14</f>
        <v>1054544.95</v>
      </c>
      <c r="E20" s="228">
        <f>Plano!E14</f>
        <v>3088854.05</v>
      </c>
      <c r="F20" s="228">
        <f>Plano!F14</f>
        <v>267000</v>
      </c>
      <c r="G20" s="228">
        <f>G21+G22+G23+G24+G25</f>
        <v>185000</v>
      </c>
      <c r="H20" s="228">
        <f>H21+H22+H23+H24+H25</f>
        <v>145000</v>
      </c>
      <c r="I20" s="228">
        <f>I21+I22+I23+I24+I25</f>
        <v>125000</v>
      </c>
    </row>
    <row r="21" spans="1:9" s="45" customFormat="1" ht="12.75">
      <c r="A21" s="165" t="s">
        <v>76</v>
      </c>
      <c r="B21" s="166" t="s">
        <v>77</v>
      </c>
      <c r="C21" s="274">
        <f>Plano!C15</f>
        <v>0</v>
      </c>
      <c r="D21" s="274">
        <f>Plano!D15</f>
        <v>0</v>
      </c>
      <c r="E21" s="274">
        <f>Plano!E15</f>
        <v>1170500</v>
      </c>
      <c r="F21" s="274">
        <f>Plano!F15</f>
        <v>0</v>
      </c>
      <c r="G21" s="274">
        <v>0</v>
      </c>
      <c r="H21" s="274">
        <v>0</v>
      </c>
      <c r="I21" s="274"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12000</v>
      </c>
      <c r="E22" s="274">
        <f>Plano!E16</f>
        <v>33351.98</v>
      </c>
      <c r="F22" s="274">
        <f>Plano!F16</f>
        <v>64000</v>
      </c>
      <c r="G22" s="274">
        <v>5000</v>
      </c>
      <c r="H22" s="274">
        <v>5000</v>
      </c>
      <c r="I22" s="274">
        <v>5000</v>
      </c>
    </row>
    <row r="23" spans="1:9" ht="12.75">
      <c r="A23" s="165" t="s">
        <v>80</v>
      </c>
      <c r="B23" s="166" t="s">
        <v>81</v>
      </c>
      <c r="C23" s="274">
        <f>Plano!C17</f>
        <v>122764.82</v>
      </c>
      <c r="D23" s="274">
        <f>Plano!D17</f>
        <v>164879.73</v>
      </c>
      <c r="E23" s="274">
        <f>Plano!E17</f>
        <v>80479.45</v>
      </c>
      <c r="F23" s="274">
        <f>Plano!F17</f>
        <v>203000</v>
      </c>
      <c r="G23" s="274">
        <v>180000</v>
      </c>
      <c r="H23" s="274">
        <v>140000</v>
      </c>
      <c r="I23" s="274">
        <v>120000</v>
      </c>
    </row>
    <row r="24" spans="1:9" s="45" customFormat="1" ht="12.75">
      <c r="A24" s="165" t="s">
        <v>82</v>
      </c>
      <c r="B24" s="166" t="s">
        <v>83</v>
      </c>
      <c r="C24" s="274">
        <f>Plano!C18</f>
        <v>844386.87</v>
      </c>
      <c r="D24" s="274">
        <f>Plano!D18</f>
        <v>877665.22</v>
      </c>
      <c r="E24" s="274">
        <f>Plano!E18</f>
        <v>1804522.62</v>
      </c>
      <c r="F24" s="274">
        <f>Plano!F18</f>
        <v>0</v>
      </c>
      <c r="G24" s="274">
        <v>0</v>
      </c>
      <c r="H24" s="274">
        <v>0</v>
      </c>
      <c r="I24" s="274">
        <v>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v>0</v>
      </c>
      <c r="H25" s="274">
        <v>0</v>
      </c>
      <c r="I25" s="274">
        <v>0</v>
      </c>
    </row>
    <row r="26" spans="1:9" ht="12.75">
      <c r="A26" s="165" t="s">
        <v>248</v>
      </c>
      <c r="B26" s="166" t="s">
        <v>249</v>
      </c>
      <c r="C26" s="274">
        <f>Plano!C20</f>
        <v>-2371448.04</v>
      </c>
      <c r="D26" s="274">
        <f>Plano!D20</f>
        <v>-2752288.43</v>
      </c>
      <c r="E26" s="274">
        <f>Plano!E20</f>
        <v>-2794569.47</v>
      </c>
      <c r="F26" s="274">
        <f>Plano!F20</f>
        <v>-3496000</v>
      </c>
      <c r="G26" s="274">
        <v>-3499200</v>
      </c>
      <c r="H26" s="274">
        <v>-3786200</v>
      </c>
      <c r="I26" s="274">
        <v>-4152400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17737590.990000002</v>
      </c>
      <c r="D28" s="228">
        <f>Plano!D22</f>
        <v>20377571.78</v>
      </c>
      <c r="E28" s="228">
        <f>Plano!E22</f>
        <v>24073151.38</v>
      </c>
      <c r="F28" s="228">
        <f>Plano!F22</f>
        <v>22907000</v>
      </c>
      <c r="G28" s="228">
        <f>G9+G20+G26</f>
        <v>24850000</v>
      </c>
      <c r="H28" s="228">
        <f>H9+H20+H26</f>
        <v>27565000</v>
      </c>
      <c r="I28" s="228">
        <f>I9+I20+I26</f>
        <v>29880000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2010</v>
      </c>
      <c r="D32" s="209">
        <f aca="true" t="shared" si="0" ref="D32:I32">D7</f>
        <v>2011</v>
      </c>
      <c r="E32" s="209">
        <f t="shared" si="0"/>
        <v>2012</v>
      </c>
      <c r="F32" s="209">
        <f t="shared" si="0"/>
        <v>2013</v>
      </c>
      <c r="G32" s="209">
        <f t="shared" si="0"/>
        <v>2014</v>
      </c>
      <c r="H32" s="209">
        <f t="shared" si="0"/>
        <v>2015</v>
      </c>
      <c r="I32" s="209">
        <f t="shared" si="0"/>
        <v>2016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15926022.69</v>
      </c>
      <c r="D33" s="228">
        <f>Plano!D26</f>
        <v>18078796.33</v>
      </c>
      <c r="E33" s="228">
        <f>Plano!E26</f>
        <v>20308534.951</v>
      </c>
      <c r="F33" s="228">
        <f>Plano!F26</f>
        <v>21407100</v>
      </c>
      <c r="G33" s="228">
        <f>G34+G35+G36</f>
        <v>23115470</v>
      </c>
      <c r="H33" s="228">
        <f>H34+H35+H36</f>
        <v>25821682</v>
      </c>
      <c r="I33" s="228">
        <f>I34+I35+I36</f>
        <v>28244690</v>
      </c>
    </row>
    <row r="34" spans="1:9" s="45" customFormat="1" ht="12.75">
      <c r="A34" s="165" t="s">
        <v>87</v>
      </c>
      <c r="B34" s="166" t="s">
        <v>88</v>
      </c>
      <c r="C34" s="275">
        <f>Plano!C27</f>
        <v>8025902.31</v>
      </c>
      <c r="D34" s="275">
        <f>Plano!D27</f>
        <v>9270329.03</v>
      </c>
      <c r="E34" s="275">
        <f>Plano!E27</f>
        <v>10240916.06</v>
      </c>
      <c r="F34" s="275">
        <f>Plano!F27</f>
        <v>11081670</v>
      </c>
      <c r="G34" s="274">
        <v>11876055</v>
      </c>
      <c r="H34" s="274">
        <v>13453811</v>
      </c>
      <c r="I34" s="274">
        <v>14719312</v>
      </c>
    </row>
    <row r="35" spans="1:9" ht="12.75">
      <c r="A35" s="165" t="s">
        <v>89</v>
      </c>
      <c r="B35" s="166" t="s">
        <v>259</v>
      </c>
      <c r="C35" s="275">
        <f>Plano!C28</f>
        <v>43596.12</v>
      </c>
      <c r="D35" s="275">
        <f>Plano!D28</f>
        <v>13795.64</v>
      </c>
      <c r="E35" s="275">
        <f>Plano!E28</f>
        <v>63167.321</v>
      </c>
      <c r="F35" s="275">
        <f>Plano!F28</f>
        <v>137000</v>
      </c>
      <c r="G35" s="274">
        <v>112000</v>
      </c>
      <c r="H35" s="274">
        <v>115000</v>
      </c>
      <c r="I35" s="274">
        <v>118000</v>
      </c>
    </row>
    <row r="36" spans="1:9" s="45" customFormat="1" ht="12.75">
      <c r="A36" s="165" t="s">
        <v>91</v>
      </c>
      <c r="B36" s="166" t="s">
        <v>92</v>
      </c>
      <c r="C36" s="275">
        <f>Plano!C29</f>
        <v>7856524.26</v>
      </c>
      <c r="D36" s="275">
        <f>Plano!D29</f>
        <v>8794671.66</v>
      </c>
      <c r="E36" s="275">
        <f>Plano!E29</f>
        <v>10004451.57</v>
      </c>
      <c r="F36" s="275">
        <f>Plano!F29</f>
        <v>10188430</v>
      </c>
      <c r="G36" s="274">
        <v>11127415</v>
      </c>
      <c r="H36" s="274">
        <v>12252871</v>
      </c>
      <c r="I36" s="274">
        <v>13407378</v>
      </c>
    </row>
    <row r="37" spans="1:9" s="45" customFormat="1" ht="12.75">
      <c r="A37" s="165" t="s">
        <v>93</v>
      </c>
      <c r="B37" s="166" t="s">
        <v>8</v>
      </c>
      <c r="C37" s="228">
        <f>Plano!C30</f>
        <v>2051808.62</v>
      </c>
      <c r="D37" s="228">
        <f>Plano!D30</f>
        <v>1308539.5</v>
      </c>
      <c r="E37" s="228">
        <f>Plano!E30</f>
        <v>4003245.58</v>
      </c>
      <c r="F37" s="228">
        <f>Plano!F30</f>
        <v>1269900</v>
      </c>
      <c r="G37" s="228">
        <f>G38+G39+G42</f>
        <v>1474530</v>
      </c>
      <c r="H37" s="228">
        <f>H38+H39+H42</f>
        <v>1463318</v>
      </c>
      <c r="I37" s="228">
        <f>I38+I39+I42</f>
        <v>1325310</v>
      </c>
    </row>
    <row r="38" spans="1:9" s="45" customFormat="1" ht="12.75">
      <c r="A38" s="165" t="s">
        <v>94</v>
      </c>
      <c r="B38" s="166" t="s">
        <v>9</v>
      </c>
      <c r="C38" s="275">
        <f>Plano!C31</f>
        <v>1512150.54</v>
      </c>
      <c r="D38" s="275">
        <f>Plano!D31</f>
        <v>1235477.03</v>
      </c>
      <c r="E38" s="275">
        <f>Plano!E31</f>
        <v>3958778.12</v>
      </c>
      <c r="F38" s="275">
        <f>Plano!F31</f>
        <v>944900</v>
      </c>
      <c r="G38" s="274">
        <v>1037530</v>
      </c>
      <c r="H38" s="274">
        <v>1068318</v>
      </c>
      <c r="I38" s="274">
        <v>945310</v>
      </c>
    </row>
    <row r="39" spans="1:9" s="45" customFormat="1" ht="12.75">
      <c r="A39" s="165" t="s">
        <v>95</v>
      </c>
      <c r="B39" s="166" t="s">
        <v>10</v>
      </c>
      <c r="C39" s="228">
        <f>Plano!C32</f>
        <v>165800</v>
      </c>
      <c r="D39" s="228">
        <f>Plano!D32</f>
        <v>0</v>
      </c>
      <c r="E39" s="228">
        <f>Plano!E32</f>
        <v>0</v>
      </c>
      <c r="F39" s="228">
        <f>Plano!F32</f>
        <v>5000</v>
      </c>
      <c r="G39" s="228">
        <f>G40+G41</f>
        <v>90000</v>
      </c>
      <c r="H39" s="228">
        <f>H40+H41</f>
        <v>40000</v>
      </c>
      <c r="I39" s="228">
        <f>I40+I41</f>
        <v>10000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295</v>
      </c>
      <c r="C41" s="275">
        <f>Plano!C34</f>
        <v>165800</v>
      </c>
      <c r="D41" s="275">
        <f>Plano!D34</f>
        <v>0</v>
      </c>
      <c r="E41" s="275">
        <f>Plano!E34</f>
        <v>0</v>
      </c>
      <c r="F41" s="275">
        <f>Plano!F34</f>
        <v>5000</v>
      </c>
      <c r="G41" s="274">
        <v>90000</v>
      </c>
      <c r="H41" s="274">
        <v>40000</v>
      </c>
      <c r="I41" s="274">
        <v>10000</v>
      </c>
    </row>
    <row r="42" spans="1:9" s="45" customFormat="1" ht="12.75">
      <c r="A42" s="165" t="s">
        <v>98</v>
      </c>
      <c r="B42" s="166" t="s">
        <v>99</v>
      </c>
      <c r="C42" s="275">
        <f>Plano!C35</f>
        <v>373858.08</v>
      </c>
      <c r="D42" s="275">
        <f>Plano!D35</f>
        <v>73062.47</v>
      </c>
      <c r="E42" s="275">
        <f>Plano!E35</f>
        <v>44467.46</v>
      </c>
      <c r="F42" s="275">
        <f>Plano!F35</f>
        <v>320000</v>
      </c>
      <c r="G42" s="274">
        <v>347000</v>
      </c>
      <c r="H42" s="274">
        <v>355000</v>
      </c>
      <c r="I42" s="274">
        <v>370000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230000</v>
      </c>
      <c r="G43" s="274">
        <v>260000</v>
      </c>
      <c r="H43" s="274">
        <v>280000</v>
      </c>
      <c r="I43" s="274">
        <v>310000</v>
      </c>
    </row>
    <row r="44" spans="1:9" s="46" customFormat="1" ht="29.25" customHeight="1" thickBot="1">
      <c r="A44" s="226"/>
      <c r="B44" s="227" t="s">
        <v>100</v>
      </c>
      <c r="C44" s="228">
        <f>Plano!C39</f>
        <v>17977831.31</v>
      </c>
      <c r="D44" s="228">
        <f>Plano!D39</f>
        <v>19387335.83</v>
      </c>
      <c r="E44" s="228">
        <f>Plano!E39</f>
        <v>24311780.531000003</v>
      </c>
      <c r="F44" s="228">
        <f>Plano!F39</f>
        <v>22907000</v>
      </c>
      <c r="G44" s="228">
        <f>G33+G37+G43</f>
        <v>24850000</v>
      </c>
      <c r="H44" s="228">
        <f>H33+H37+H43</f>
        <v>27565000</v>
      </c>
      <c r="I44" s="228">
        <f>I33+I37+I43</f>
        <v>29880000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19141887.34</v>
      </c>
      <c r="D50" s="212">
        <f aca="true" t="shared" si="1" ref="D50:J50">D9</f>
        <v>22075315.26</v>
      </c>
      <c r="E50" s="212">
        <f t="shared" si="1"/>
        <v>23778866.799999997</v>
      </c>
      <c r="F50" s="212">
        <f t="shared" si="1"/>
        <v>26136000</v>
      </c>
      <c r="G50" s="212">
        <f t="shared" si="1"/>
        <v>28164200</v>
      </c>
      <c r="H50" s="212"/>
      <c r="I50" s="212">
        <f t="shared" si="1"/>
        <v>33907400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844386.87</v>
      </c>
      <c r="D57" s="212">
        <f aca="true" t="shared" si="2" ref="D57:J57">D24</f>
        <v>877665.22</v>
      </c>
      <c r="E57" s="212">
        <f t="shared" si="2"/>
        <v>1804522.62</v>
      </c>
      <c r="F57" s="212">
        <f t="shared" si="2"/>
        <v>0</v>
      </c>
      <c r="G57" s="212">
        <f t="shared" si="2"/>
        <v>0</v>
      </c>
      <c r="H57" s="212"/>
      <c r="I57" s="212">
        <f t="shared" si="2"/>
        <v>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1677950.54</v>
      </c>
      <c r="D60" s="212">
        <f>D38+D39</f>
        <v>1235477.03</v>
      </c>
      <c r="E60" s="212">
        <f>E38+E39</f>
        <v>3958778.12</v>
      </c>
      <c r="F60" s="212">
        <f>F38+F39</f>
        <v>949900</v>
      </c>
      <c r="G60" s="212">
        <f>G38+G39</f>
        <v>1127530</v>
      </c>
      <c r="H60" s="212"/>
      <c r="I60" s="212">
        <f>I38+I39</f>
        <v>955310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7:G28"/>
  <sheetViews>
    <sheetView showGridLines="0" zoomScale="75" zoomScaleNormal="75" zoomScalePageLayoutView="0" workbookViewId="0" topLeftCell="A7">
      <selection activeCell="A14" sqref="A14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2014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2010</v>
      </c>
      <c r="C12" s="55">
        <f>DADOS!$E$32-3</f>
        <v>2011</v>
      </c>
      <c r="D12" s="55">
        <f>DADOS!$E$32-2</f>
        <v>2012</v>
      </c>
      <c r="E12" s="55">
        <f>DADOS!$E$32-1</f>
        <v>2013</v>
      </c>
      <c r="F12" s="55">
        <f>DADOS!$E$32</f>
        <v>2014</v>
      </c>
      <c r="G12" s="55">
        <f>DADOS!$E$32+1</f>
        <v>2015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0.09605131659146754</v>
      </c>
      <c r="C16" s="292">
        <f>((Projeções!E34/Projeções!D34)-1)-C14</f>
        <v>0.06159822881788282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0.008409979394628612</v>
      </c>
      <c r="C17" s="292">
        <f>((Projeções!E36/Projeções!D36)-1)-C14-C15</f>
        <v>0.10045828037359619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0.057613219795109576</v>
      </c>
      <c r="C18" s="292">
        <f>((Projeções!E10/Projeções!D10)-1)-C14-C15</f>
        <v>0.34308926863857236</v>
      </c>
      <c r="D18" s="292">
        <f>((Projeções!F10/Projeções!E10)-1)-D14-D15</f>
        <v>0.03470418193159064</v>
      </c>
      <c r="E18" s="289">
        <f>(B18+C18+D18)/3</f>
        <v>0.14513555678842419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0.16196482609941953</v>
      </c>
      <c r="C19" s="292">
        <f>((Projeções!E18/Projeções!D18)-1)-C14-C15</f>
        <v>0.03815248015519481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0.0677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-0.29396690883699983</v>
      </c>
      <c r="C21" s="292">
        <f>((Projeções!E38/Projeções!D38)-1)-C14-C15</f>
        <v>2.1671506852596036</v>
      </c>
      <c r="D21" s="292">
        <v>-0.083</v>
      </c>
      <c r="E21" s="289">
        <f>(B21+C21+D21)/3</f>
        <v>0.5967279254742013</v>
      </c>
      <c r="F21" s="289">
        <f>(C21+D21+E21)/3</f>
        <v>0.8936262035779349</v>
      </c>
      <c r="G21" s="289">
        <f>(D21+E21+F21)/3</f>
        <v>0.46911804301737875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46" t="str">
        <f>DADOS!A3</f>
        <v>MUNICIPIO DE QUILOMBO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12.75">
      <c r="A2" s="349" t="s">
        <v>48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>
      <c r="A3" s="349" t="s">
        <v>229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>
      <c r="A4" s="350" t="s">
        <v>230</v>
      </c>
      <c r="B4" s="351"/>
      <c r="C4" s="351"/>
      <c r="D4" s="351"/>
      <c r="E4" s="351"/>
      <c r="F4" s="351"/>
      <c r="G4" s="351"/>
      <c r="H4" s="351"/>
      <c r="I4" s="351"/>
      <c r="J4" s="352"/>
    </row>
    <row r="5" spans="1:10" ht="12.75">
      <c r="A5" s="349" t="str">
        <f>DADOS!A17</f>
        <v>Exercício de 2014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>
      <c r="A6" s="349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5.75">
      <c r="A7" s="64" t="s">
        <v>104</v>
      </c>
      <c r="B7" s="354"/>
      <c r="C7" s="354"/>
      <c r="D7" s="354"/>
      <c r="E7" s="354"/>
      <c r="F7" s="354"/>
      <c r="G7" s="354"/>
      <c r="H7" s="355">
        <v>1</v>
      </c>
      <c r="I7" s="356"/>
      <c r="J7" s="356"/>
    </row>
    <row r="8" spans="1:10" s="67" customFormat="1" ht="12.75">
      <c r="A8" s="357" t="s">
        <v>105</v>
      </c>
      <c r="B8" s="360">
        <f>DADOS!E32</f>
        <v>2014</v>
      </c>
      <c r="C8" s="361"/>
      <c r="D8" s="362"/>
      <c r="E8" s="360">
        <f>B8+1</f>
        <v>2015</v>
      </c>
      <c r="F8" s="361"/>
      <c r="G8" s="362"/>
      <c r="H8" s="360">
        <f>B8+2</f>
        <v>2016</v>
      </c>
      <c r="I8" s="361"/>
      <c r="J8" s="361"/>
    </row>
    <row r="9" spans="1:10" ht="15.75" customHeight="1">
      <c r="A9" s="358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8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9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24850000</v>
      </c>
      <c r="C12" s="251">
        <f>B12/(1+Parâmetros!E14)</f>
        <v>23583562.683875863</v>
      </c>
      <c r="D12" s="252">
        <f>B12/(Parâmetros!E22)/1000</f>
        <v>0.00013614946307254</v>
      </c>
      <c r="E12" s="251">
        <f>Projeções!H28</f>
        <v>27565000</v>
      </c>
      <c r="F12" s="251">
        <f>E12/((1+Parâmetros!E14)*(1+Parâmetros!F14))</f>
        <v>24867107.794333998</v>
      </c>
      <c r="G12" s="252">
        <f>E12/(Parâmetros!F22)/1000</f>
        <v>0.00013958163487490062</v>
      </c>
      <c r="H12" s="251">
        <f>Projeções!I28</f>
        <v>29880000</v>
      </c>
      <c r="I12" s="251">
        <f>H12/((1+Parâmetros!E14)*(1+Parâmetros!F14)*(1+Parâmetros!G14))</f>
        <v>25552687.336260516</v>
      </c>
      <c r="J12" s="252">
        <f>H12/(Parâmetros!G22)/1000</f>
        <v>0.0001358490566037736</v>
      </c>
    </row>
    <row r="13" spans="1:10" ht="15.75">
      <c r="A13" s="79" t="s">
        <v>231</v>
      </c>
      <c r="B13" s="251">
        <f>B12-(Projeções!G13+Projeções!G21+Projeções!G22+Projeções!G23)</f>
        <v>24430680</v>
      </c>
      <c r="C13" s="251">
        <f>B13/(1+Parâmetros!E14)</f>
        <v>23185612.60320774</v>
      </c>
      <c r="D13" s="252">
        <f>B13/(Parâmetros!E22)/1000</f>
        <v>0.00013385207100591716</v>
      </c>
      <c r="E13" s="251">
        <f>E12-(Projeções!H13+Projeções!H21+Projeções!H22+Projeções!H23)</f>
        <v>27167500</v>
      </c>
      <c r="F13" s="251">
        <f>E13/((1+Parâmetros!E14)*(1+Parâmetros!F14))</f>
        <v>24508512.64293738</v>
      </c>
      <c r="G13" s="252">
        <f>E13/(Parâmetros!F22)/1000</f>
        <v>0.00013756880339067158</v>
      </c>
      <c r="H13" s="251">
        <f>H12-(Projeções!I13+Projeções!I21+Projeções!I22+Projeções!I23)</f>
        <v>29478940</v>
      </c>
      <c r="I13" s="251">
        <f>H13/((1+Parâmetros!E14)*(1+Parâmetros!F14)*(1+Parâmetros!G14))</f>
        <v>25209710.067750454</v>
      </c>
      <c r="J13" s="252">
        <f>H13/(Parâmetros!G22)/1000</f>
        <v>0.00013402564219140714</v>
      </c>
    </row>
    <row r="14" spans="1:10" ht="15.75">
      <c r="A14" s="79" t="s">
        <v>118</v>
      </c>
      <c r="B14" s="251">
        <f>Projeções!G44</f>
        <v>24850000</v>
      </c>
      <c r="C14" s="251">
        <f>B14/(1+Parâmetros!E14)</f>
        <v>23583562.683875863</v>
      </c>
      <c r="D14" s="252">
        <f>B14/(Parâmetros!E22)/1000</f>
        <v>0.00013614946307254</v>
      </c>
      <c r="E14" s="251">
        <f>Projeções!H44</f>
        <v>27565000</v>
      </c>
      <c r="F14" s="251">
        <f>E14/((1+Parâmetros!E14)*(1+Parâmetros!F14))</f>
        <v>24867107.794333998</v>
      </c>
      <c r="G14" s="252">
        <f>E14/(Parâmetros!F22)/1000</f>
        <v>0.00013958163487490062</v>
      </c>
      <c r="H14" s="251">
        <f>Projeções!I44</f>
        <v>29880000</v>
      </c>
      <c r="I14" s="251">
        <f>H14/((1+Parâmetros!E14)*(1+Parâmetros!F14)*(1+Parâmetros!G14))</f>
        <v>25552687.336260516</v>
      </c>
      <c r="J14" s="252">
        <f>H14/(Parâmetros!G22)/1000</f>
        <v>0.0001358490566037736</v>
      </c>
    </row>
    <row r="15" spans="1:10" ht="15.75">
      <c r="A15" s="79" t="s">
        <v>232</v>
      </c>
      <c r="B15" s="251">
        <f>B14-(Projeções!G35+Projeções!G41+Projeções!G42)</f>
        <v>24301000</v>
      </c>
      <c r="C15" s="251">
        <f>B15/(1+Parâmetros!E14)</f>
        <v>23062541.520356838</v>
      </c>
      <c r="D15" s="252">
        <f>B15/(Parâmetros!E22)/1000</f>
        <v>0.00013314157352618892</v>
      </c>
      <c r="E15" s="251">
        <f>E14-(Projeções!H35+Projeções!H41+Projeções!H42)</f>
        <v>27055000</v>
      </c>
      <c r="F15" s="251">
        <f>E15/((1+Parâmetros!E14)*(1+Parâmetros!F14))</f>
        <v>24407023.449145883</v>
      </c>
      <c r="G15" s="252">
        <f>E15/(Parâmetros!F22)/1000</f>
        <v>0.00013699913410268225</v>
      </c>
      <c r="H15" s="251">
        <f>H14-(Projeções!I35+Projeções!I41+Projeções!I42)</f>
        <v>29382000</v>
      </c>
      <c r="I15" s="251">
        <f>H15/((1+Parâmetros!E14)*(1+Parâmetros!F14)*(1+Parâmetros!G14))</f>
        <v>25126809.213989507</v>
      </c>
      <c r="J15" s="252">
        <f>H15/(Parâmetros!G22)/1000</f>
        <v>0.00013358490566037735</v>
      </c>
    </row>
    <row r="16" spans="1:10" ht="15.75">
      <c r="A16" s="79" t="s">
        <v>119</v>
      </c>
      <c r="B16" s="251">
        <f>B13-B15</f>
        <v>129680</v>
      </c>
      <c r="C16" s="251">
        <f>C13-C15</f>
        <v>123071.08285090327</v>
      </c>
      <c r="D16" s="252">
        <f>B16/(Parâmetros!E22)/1000</f>
        <v>7.104974797282489E-07</v>
      </c>
      <c r="E16" s="251">
        <f>E13-E15</f>
        <v>112500</v>
      </c>
      <c r="F16" s="251">
        <f>F13-F15</f>
        <v>101489.1937914975</v>
      </c>
      <c r="G16" s="252">
        <f>E16/(Parâmetros!F22)/1000</f>
        <v>5.696692879893459E-07</v>
      </c>
      <c r="H16" s="251">
        <f>H13-H15</f>
        <v>96940</v>
      </c>
      <c r="I16" s="251">
        <f>I13-I15</f>
        <v>82900.85376094654</v>
      </c>
      <c r="J16" s="252">
        <f>H16/(Parâmetros!G22)/1000</f>
        <v>4.407365310297795E-07</v>
      </c>
    </row>
    <row r="17" spans="1:10" ht="15.75">
      <c r="A17" s="79" t="s">
        <v>120</v>
      </c>
      <c r="B17" s="251">
        <f>Dívida!F10</f>
        <v>-719000</v>
      </c>
      <c r="C17" s="251">
        <f>B17/(1+Parâmetros!E14)</f>
        <v>-682357.4072316599</v>
      </c>
      <c r="D17" s="252">
        <f>B17/(Parâmetros!E22)/1000</f>
        <v>-3.939294323909709E-06</v>
      </c>
      <c r="E17" s="251">
        <f>Dívida!G10</f>
        <v>-750000</v>
      </c>
      <c r="F17" s="251">
        <f>E17/((1+Parâmetros!E14)*(1+Parâmetros!F14))</f>
        <v>-676594.6252766369</v>
      </c>
      <c r="G17" s="252">
        <f>E17/(Parâmetros!F22)/1000</f>
        <v>-3.797795253262306E-06</v>
      </c>
      <c r="H17" s="251">
        <f>Dívida!H10</f>
        <v>-798000</v>
      </c>
      <c r="I17" s="251">
        <f>H17/((1+Parâmetros!E14)*(1+Parâmetros!F14)*(1+Parâmetros!G14))</f>
        <v>-682431.2079764354</v>
      </c>
      <c r="J17" s="252">
        <f>H17/(Parâmetros!G22)/1000</f>
        <v>-3.6280972948397364E-06</v>
      </c>
    </row>
    <row r="18" spans="1:10" ht="15.75">
      <c r="A18" s="79" t="s">
        <v>121</v>
      </c>
      <c r="B18" s="251">
        <f>Dívida!F7</f>
        <v>658380</v>
      </c>
      <c r="C18" s="251">
        <f>B18/(1+Parâmetros!E14)</f>
        <v>624826.8007971908</v>
      </c>
      <c r="D18" s="252">
        <f>B18/(Parâmetros!E22)/1000</f>
        <v>3.6071663379355688E-06</v>
      </c>
      <c r="E18" s="251">
        <f>Dívida!G7</f>
        <v>188380</v>
      </c>
      <c r="F18" s="251">
        <f>E18/((1+Parâmetros!E14)*(1+Parâmetros!F14))</f>
        <v>169942.52734615048</v>
      </c>
      <c r="G18" s="252">
        <f>E18/(Parâmetros!F22)/1000</f>
        <v>9.539048930794042E-07</v>
      </c>
      <c r="H18" s="251">
        <f>Dívida!H7</f>
        <v>-299620</v>
      </c>
      <c r="I18" s="251">
        <f>H18/((1+Parâmetros!E14)*(1+Parâmetros!F14)*(1+Parâmetros!G14))</f>
        <v>-256228.11846353332</v>
      </c>
      <c r="J18" s="252">
        <f>H18/(Parâmetros!G22)/1000</f>
        <v>-1.3622186860650147E-06</v>
      </c>
    </row>
    <row r="19" spans="1:10" ht="15.75">
      <c r="A19" s="81" t="s">
        <v>122</v>
      </c>
      <c r="B19" s="251">
        <f>Dívida!F9</f>
        <v>78380</v>
      </c>
      <c r="C19" s="251">
        <f>B19/(1+Parâmetros!E14)</f>
        <v>74385.49871880042</v>
      </c>
      <c r="D19" s="252">
        <f>B19/(Parâmetros!E22)/1000</f>
        <v>4.2943239097085253E-07</v>
      </c>
      <c r="E19" s="251">
        <f>Dívida!G9</f>
        <v>-671620</v>
      </c>
      <c r="F19" s="251">
        <f>E19/((1+Parâmetros!E14)*(1+Parâmetros!F14))</f>
        <v>-605885.9763043933</v>
      </c>
      <c r="G19" s="252">
        <f>E19/(Parâmetros!F22)/1000</f>
        <v>-3.4009003306613735E-06</v>
      </c>
      <c r="H19" s="251">
        <f>Dívida!H9</f>
        <v>-1469620</v>
      </c>
      <c r="I19" s="251">
        <f>H19/((1+Parâmetros!E14)*(1+Parâmetros!F14)*(1+Parâmetros!G14))</f>
        <v>-1256785.152714698</v>
      </c>
      <c r="J19" s="252">
        <f>H19/(Parâmetros!G22)/1000</f>
        <v>-6.6816094566947035E-06</v>
      </c>
    </row>
    <row r="20" spans="1:10" ht="12.75">
      <c r="A20" s="353" t="s">
        <v>296</v>
      </c>
      <c r="B20" s="353"/>
      <c r="C20" s="353"/>
      <c r="D20" s="353"/>
      <c r="E20" s="353"/>
      <c r="F20" s="353"/>
      <c r="G20" s="353"/>
      <c r="H20" s="353"/>
      <c r="I20" s="353"/>
      <c r="J20" s="353"/>
    </row>
    <row r="21" ht="12.75">
      <c r="A21" s="326" t="s">
        <v>319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63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233</v>
      </c>
      <c r="B3" s="364"/>
      <c r="C3" s="364"/>
      <c r="D3" s="364"/>
      <c r="E3" s="364"/>
      <c r="F3" s="364"/>
      <c r="G3" s="365"/>
    </row>
    <row r="4" spans="1:7" ht="12.75">
      <c r="A4" s="367" t="s">
        <v>234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71">
        <v>1</v>
      </c>
      <c r="G7" s="372"/>
    </row>
    <row r="8" spans="1:7" ht="10.5" customHeight="1">
      <c r="A8" s="373" t="s">
        <v>105</v>
      </c>
      <c r="B8" s="376" t="s">
        <v>213</v>
      </c>
      <c r="C8" s="376" t="s">
        <v>107</v>
      </c>
      <c r="D8" s="376" t="s">
        <v>214</v>
      </c>
      <c r="E8" s="376" t="s">
        <v>107</v>
      </c>
      <c r="F8" s="378" t="s">
        <v>124</v>
      </c>
      <c r="G8" s="379"/>
    </row>
    <row r="9" spans="1:7" ht="12.75" customHeight="1">
      <c r="A9" s="374"/>
      <c r="B9" s="377"/>
      <c r="C9" s="377"/>
      <c r="D9" s="377"/>
      <c r="E9" s="377"/>
      <c r="F9" s="380"/>
      <c r="G9" s="381"/>
    </row>
    <row r="10" spans="1:7" ht="22.5" customHeight="1">
      <c r="A10" s="375"/>
      <c r="B10" s="113">
        <f>DADOS!E32-2</f>
        <v>2012</v>
      </c>
      <c r="C10" s="113"/>
      <c r="D10" s="113">
        <f>B10</f>
        <v>2012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24073151.38</v>
      </c>
      <c r="E11" s="254">
        <f>D11/(Parâmetros!E22)/1000</f>
        <v>0.00013189322474249396</v>
      </c>
      <c r="F11" s="256">
        <f aca="true" t="shared" si="0" ref="F11:F18">D11-B11</f>
        <v>7434961.379999999</v>
      </c>
      <c r="G11" s="257">
        <f aca="true" t="shared" si="1" ref="G11:G18">(F11/B11)</f>
        <v>0.4468611898289417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22675777.029999997</v>
      </c>
      <c r="E12" s="254">
        <f>D12/(Parâmetros!E22)/1000</f>
        <v>0.00012423721800350647</v>
      </c>
      <c r="F12" s="256">
        <f t="shared" si="0"/>
        <v>6230677.0299999975</v>
      </c>
      <c r="G12" s="257">
        <f t="shared" si="1"/>
        <v>0.37887741819751763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24311780.531000003</v>
      </c>
      <c r="E13" s="254">
        <f>D13/(Parâmetros!E22)/1000</f>
        <v>0.00013320063845605963</v>
      </c>
      <c r="F13" s="256">
        <f t="shared" si="0"/>
        <v>7673590.531000003</v>
      </c>
      <c r="G13" s="257">
        <f t="shared" si="1"/>
        <v>0.46120344406452884</v>
      </c>
    </row>
    <row r="14" spans="1:7" ht="15">
      <c r="A14" s="115" t="s">
        <v>236</v>
      </c>
      <c r="B14" s="253">
        <f>B13-(Plano!E48+Plano!E49+Plano!E50)</f>
        <v>16574190</v>
      </c>
      <c r="C14" s="254">
        <f>B14/(Parâmetros!C22)/1000</f>
        <v>0.00010853091399609728</v>
      </c>
      <c r="D14" s="255">
        <f>D13-(Plano!E28+Plano!E33+Plano!E35)</f>
        <v>24204145.750000004</v>
      </c>
      <c r="E14" s="254">
        <f>D14/(Parâmetros!E22)/1000</f>
        <v>0.0001326109234604427</v>
      </c>
      <c r="F14" s="256">
        <f t="shared" si="0"/>
        <v>7629955.750000004</v>
      </c>
      <c r="G14" s="257">
        <f t="shared" si="1"/>
        <v>0.46035165217727103</v>
      </c>
    </row>
    <row r="15" spans="1:7" ht="15">
      <c r="A15" s="115" t="s">
        <v>126</v>
      </c>
      <c r="B15" s="253">
        <f>B12-B14</f>
        <v>-129090</v>
      </c>
      <c r="C15" s="254">
        <f>B15/(Parâmetros!C22)/1000</f>
        <v>-8.4530560393939E-07</v>
      </c>
      <c r="D15" s="255">
        <f>D12-D14</f>
        <v>-1528368.7200000063</v>
      </c>
      <c r="E15" s="254">
        <f>D15/(Parâmetros!E22)/1000</f>
        <v>-8.37370545693626E-06</v>
      </c>
      <c r="F15" s="256">
        <f t="shared" si="0"/>
        <v>-1399278.7200000063</v>
      </c>
      <c r="G15" s="257">
        <f t="shared" si="1"/>
        <v>10.83955937717876</v>
      </c>
    </row>
    <row r="16" spans="1:7" ht="15">
      <c r="A16" s="115" t="s">
        <v>49</v>
      </c>
      <c r="B16" s="118">
        <f>Dívida!D10</f>
        <v>421237.32000000007</v>
      </c>
      <c r="C16" s="116">
        <f>B16/(Parâmetros!C22)/1000</f>
        <v>2.758341212986367E-06</v>
      </c>
      <c r="D16" s="255">
        <f>Dívida!D10</f>
        <v>421237.32000000007</v>
      </c>
      <c r="E16" s="254">
        <f>D16/(Parâmetros!E22)/1000</f>
        <v>2.30789677843524E-06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1437380.46</v>
      </c>
      <c r="C17" s="116">
        <f>B17/(Parâmetros!C22)/1000</f>
        <v>9.412237646843118E-06</v>
      </c>
      <c r="D17" s="255">
        <f>Dívida!D7</f>
        <v>1437380.46</v>
      </c>
      <c r="E17" s="254">
        <f>D17/(Parâmetros!E22)/1000</f>
        <v>7.875194280078895E-06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-1478536.29</v>
      </c>
      <c r="C18" s="116">
        <f>B18/(Parâmetros!C22)/1000</f>
        <v>-9.681733763767567E-06</v>
      </c>
      <c r="D18" s="255">
        <f>Dívida!D9</f>
        <v>-1478536.29</v>
      </c>
      <c r="E18" s="254">
        <f>D18/(Parâmetros!E22)/1000</f>
        <v>-8.100680966469428E-06</v>
      </c>
      <c r="F18" s="256">
        <f t="shared" si="0"/>
        <v>0</v>
      </c>
      <c r="G18" s="257">
        <f t="shared" si="1"/>
        <v>0</v>
      </c>
    </row>
    <row r="19" spans="1:7" ht="12.75">
      <c r="A19" s="370"/>
      <c r="B19" s="370"/>
      <c r="C19" s="370"/>
      <c r="D19" s="370"/>
      <c r="E19" s="370"/>
      <c r="F19" s="370"/>
      <c r="G19" s="370"/>
    </row>
    <row r="21" ht="12.75">
      <c r="A21" s="109" t="s">
        <v>272</v>
      </c>
    </row>
    <row r="22" ht="12.75">
      <c r="A22" s="109" t="s">
        <v>297</v>
      </c>
    </row>
    <row r="23" ht="12.75">
      <c r="A23" s="297" t="s">
        <v>298</v>
      </c>
    </row>
    <row r="24" ht="12.75">
      <c r="A24" s="327" t="s">
        <v>319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C16" sqref="C16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63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6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6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67" t="s">
        <v>237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9"/>
    </row>
    <row r="5" spans="1:12" ht="11.25">
      <c r="A5" s="366" t="str">
        <f>DADOS!A17</f>
        <v>Exercício de 2014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6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2" t="s">
        <v>131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</row>
    <row r="9" spans="1:12" s="302" customFormat="1" ht="15.75" customHeight="1">
      <c r="A9" s="384"/>
      <c r="B9" s="386">
        <f>DADOS!E32-4</f>
        <v>2010</v>
      </c>
      <c r="C9" s="386">
        <f>B9+1</f>
        <v>2011</v>
      </c>
      <c r="D9" s="386" t="s">
        <v>225</v>
      </c>
      <c r="E9" s="386">
        <f>C9+1</f>
        <v>2012</v>
      </c>
      <c r="F9" s="386" t="s">
        <v>225</v>
      </c>
      <c r="G9" s="376">
        <f>E9+1</f>
        <v>2013</v>
      </c>
      <c r="H9" s="376" t="s">
        <v>225</v>
      </c>
      <c r="I9" s="376">
        <f>G9+1</f>
        <v>2014</v>
      </c>
      <c r="J9" s="376" t="s">
        <v>226</v>
      </c>
      <c r="K9" s="376">
        <f>I9+1</f>
        <v>2015</v>
      </c>
      <c r="L9" s="378" t="s">
        <v>225</v>
      </c>
    </row>
    <row r="10" spans="1:12" s="302" customFormat="1" ht="15.75" customHeight="1">
      <c r="A10" s="385"/>
      <c r="B10" s="387"/>
      <c r="C10" s="387"/>
      <c r="D10" s="387"/>
      <c r="E10" s="387"/>
      <c r="F10" s="387"/>
      <c r="G10" s="388"/>
      <c r="H10" s="388"/>
      <c r="I10" s="388"/>
      <c r="J10" s="388"/>
      <c r="K10" s="388"/>
      <c r="L10" s="380"/>
    </row>
    <row r="11" spans="1:12" ht="11.25">
      <c r="A11" s="303" t="s">
        <v>132</v>
      </c>
      <c r="B11" s="304">
        <f>Plano!D42</f>
        <v>20910000</v>
      </c>
      <c r="C11" s="304">
        <f>Plano!E42</f>
        <v>16638190</v>
      </c>
      <c r="D11" s="305">
        <f aca="true" t="shared" si="0" ref="D11:D18">(C11/B11)-1</f>
        <v>-0.20429507412721182</v>
      </c>
      <c r="E11" s="304">
        <f>Plano!F42</f>
        <v>22907000</v>
      </c>
      <c r="F11" s="305">
        <f aca="true" t="shared" si="1" ref="F11:F18">(E11/C11)-1</f>
        <v>0.3767723532427505</v>
      </c>
      <c r="G11" s="306">
        <f>Metas!B12</f>
        <v>24850000</v>
      </c>
      <c r="H11" s="307">
        <f aca="true" t="shared" si="2" ref="H11:H18">(G11/E11)-1</f>
        <v>0.08482123368402661</v>
      </c>
      <c r="I11" s="306">
        <f>Metas!E12</f>
        <v>27565000</v>
      </c>
      <c r="J11" s="307">
        <f aca="true" t="shared" si="3" ref="J11:J18">(I11/G11)-1</f>
        <v>0.10925553319919512</v>
      </c>
      <c r="K11" s="306">
        <f>Metas!H12</f>
        <v>29880000</v>
      </c>
      <c r="L11" s="307">
        <f aca="true" t="shared" si="4" ref="L11:L17">(K11/I11)-1</f>
        <v>0.08398331217123167</v>
      </c>
    </row>
    <row r="12" spans="1:12" ht="11.25">
      <c r="A12" s="303" t="s">
        <v>240</v>
      </c>
      <c r="B12" s="304">
        <f>B11-(Plano!D43+Plano!D44+Plano!D45+Plano!D46)</f>
        <v>19358410</v>
      </c>
      <c r="C12" s="304">
        <f>C11-(Plano!E43+Plano!E44+Plano!E45+Plano!E46)</f>
        <v>16445100</v>
      </c>
      <c r="D12" s="305">
        <f t="shared" si="0"/>
        <v>-0.15049324815416143</v>
      </c>
      <c r="E12" s="304">
        <f>E11-(Plano!F43+Plano!F44+Plano!F45+Plano!F46)</f>
        <v>22477800</v>
      </c>
      <c r="F12" s="305">
        <f t="shared" si="1"/>
        <v>0.366838754401007</v>
      </c>
      <c r="G12" s="308">
        <f>Metas!B13</f>
        <v>24430680</v>
      </c>
      <c r="H12" s="307">
        <f t="shared" si="2"/>
        <v>0.08688038865013481</v>
      </c>
      <c r="I12" s="308">
        <f>Metas!E13</f>
        <v>27167500</v>
      </c>
      <c r="J12" s="307">
        <f t="shared" si="3"/>
        <v>0.11202389782028166</v>
      </c>
      <c r="K12" s="308">
        <f>Metas!H13</f>
        <v>29478940</v>
      </c>
      <c r="L12" s="307">
        <f t="shared" si="4"/>
        <v>0.0850810711327874</v>
      </c>
    </row>
    <row r="13" spans="1:12" ht="11.25">
      <c r="A13" s="303" t="s">
        <v>133</v>
      </c>
      <c r="B13" s="304">
        <f>Plano!D47</f>
        <v>20910000</v>
      </c>
      <c r="C13" s="304">
        <f>Plano!E47</f>
        <v>16638190</v>
      </c>
      <c r="D13" s="305">
        <f t="shared" si="0"/>
        <v>-0.20429507412721182</v>
      </c>
      <c r="E13" s="304">
        <f>Plano!F47</f>
        <v>22907000</v>
      </c>
      <c r="F13" s="305">
        <f t="shared" si="1"/>
        <v>0.3767723532427505</v>
      </c>
      <c r="G13" s="308">
        <f>Metas!B14</f>
        <v>24850000</v>
      </c>
      <c r="H13" s="307">
        <f t="shared" si="2"/>
        <v>0.08482123368402661</v>
      </c>
      <c r="I13" s="308">
        <f>Metas!E14</f>
        <v>27565000</v>
      </c>
      <c r="J13" s="307">
        <f t="shared" si="3"/>
        <v>0.10925553319919512</v>
      </c>
      <c r="K13" s="308">
        <f>Metas!H14</f>
        <v>29880000</v>
      </c>
      <c r="L13" s="307">
        <f t="shared" si="4"/>
        <v>0.08398331217123167</v>
      </c>
    </row>
    <row r="14" spans="1:12" ht="11.25">
      <c r="A14" s="303" t="s">
        <v>232</v>
      </c>
      <c r="B14" s="304">
        <f>B13-(Plano!D48+Plano!D49+Plano!D50)</f>
        <v>20460000</v>
      </c>
      <c r="C14" s="304">
        <f>C13-(Plano!E48+Plano!E49+Plano!E50)</f>
        <v>16574190</v>
      </c>
      <c r="D14" s="305">
        <f t="shared" si="0"/>
        <v>-0.18992228739002937</v>
      </c>
      <c r="E14" s="304">
        <f>E13-(Plano!F48+Plano!F49+Plano!F50)</f>
        <v>22450000</v>
      </c>
      <c r="F14" s="305">
        <f t="shared" si="1"/>
        <v>0.35451566562227166</v>
      </c>
      <c r="G14" s="308">
        <f>Metas!B15</f>
        <v>24301000</v>
      </c>
      <c r="H14" s="307">
        <f t="shared" si="2"/>
        <v>0.08244988864142533</v>
      </c>
      <c r="I14" s="308">
        <f>Metas!E15</f>
        <v>27055000</v>
      </c>
      <c r="J14" s="307">
        <f t="shared" si="3"/>
        <v>0.11332866960207388</v>
      </c>
      <c r="K14" s="308">
        <f>Metas!H15</f>
        <v>29382000</v>
      </c>
      <c r="L14" s="307">
        <f t="shared" si="4"/>
        <v>0.08600997967104052</v>
      </c>
    </row>
    <row r="15" spans="1:12" ht="11.25">
      <c r="A15" s="303" t="s">
        <v>134</v>
      </c>
      <c r="B15" s="304">
        <f>B12-B14</f>
        <v>-1101590</v>
      </c>
      <c r="C15" s="304">
        <f>C12-C14</f>
        <v>-129090</v>
      </c>
      <c r="D15" s="305">
        <f t="shared" si="0"/>
        <v>-0.8828148403671057</v>
      </c>
      <c r="E15" s="304">
        <f>E12-E14</f>
        <v>27800</v>
      </c>
      <c r="F15" s="305">
        <f t="shared" si="1"/>
        <v>-1.2153536292509102</v>
      </c>
      <c r="G15" s="308">
        <f>Metas!B16</f>
        <v>129680</v>
      </c>
      <c r="H15" s="307">
        <f t="shared" si="2"/>
        <v>3.664748201438849</v>
      </c>
      <c r="I15" s="308">
        <f>Metas!E16</f>
        <v>112500</v>
      </c>
      <c r="J15" s="307">
        <f t="shared" si="3"/>
        <v>-0.1324799506477483</v>
      </c>
      <c r="K15" s="308">
        <f>Metas!H16</f>
        <v>96940</v>
      </c>
      <c r="L15" s="307">
        <f t="shared" si="4"/>
        <v>-0.13831111111111116</v>
      </c>
    </row>
    <row r="16" spans="1:12" ht="11.25">
      <c r="A16" s="303" t="s">
        <v>135</v>
      </c>
      <c r="B16" s="309">
        <f>C16</f>
        <v>421237.32000000007</v>
      </c>
      <c r="C16" s="309">
        <f>Dívida!D10</f>
        <v>421237.32000000007</v>
      </c>
      <c r="D16" s="305">
        <f t="shared" si="0"/>
        <v>0</v>
      </c>
      <c r="E16" s="309">
        <f>Dívida!E10</f>
        <v>2275916.29</v>
      </c>
      <c r="F16" s="305">
        <f t="shared" si="1"/>
        <v>4.4029312739906326</v>
      </c>
      <c r="G16" s="308">
        <f>Metas!B17</f>
        <v>-719000</v>
      </c>
      <c r="H16" s="307">
        <f t="shared" si="2"/>
        <v>-1.3159167158999507</v>
      </c>
      <c r="I16" s="308">
        <f>Metas!E17</f>
        <v>-750000</v>
      </c>
      <c r="J16" s="307">
        <f t="shared" si="3"/>
        <v>0.04311543810848395</v>
      </c>
      <c r="K16" s="304">
        <f>Metas!H17</f>
        <v>-798000</v>
      </c>
      <c r="L16" s="307">
        <f t="shared" si="4"/>
        <v>0.06400000000000006</v>
      </c>
    </row>
    <row r="17" spans="1:12" ht="11.25">
      <c r="A17" s="303" t="s">
        <v>136</v>
      </c>
      <c r="B17" s="309">
        <f>Dívida!C7</f>
        <v>311347.7</v>
      </c>
      <c r="C17" s="309">
        <f>Dívida!D7</f>
        <v>1437380.46</v>
      </c>
      <c r="D17" s="305">
        <f t="shared" si="0"/>
        <v>3.6166406882080704</v>
      </c>
      <c r="E17" s="309">
        <f>Dívida!E7</f>
        <v>1117380</v>
      </c>
      <c r="F17" s="305">
        <f t="shared" si="1"/>
        <v>-0.2226275289703048</v>
      </c>
      <c r="G17" s="308">
        <f>Metas!B18</f>
        <v>658380</v>
      </c>
      <c r="H17" s="307">
        <f t="shared" si="2"/>
        <v>-0.4107823658916394</v>
      </c>
      <c r="I17" s="308">
        <f>Metas!E18</f>
        <v>188380</v>
      </c>
      <c r="J17" s="307">
        <f t="shared" si="3"/>
        <v>-0.713873446945533</v>
      </c>
      <c r="K17" s="304">
        <f>Metas!H18</f>
        <v>-299620</v>
      </c>
      <c r="L17" s="307">
        <f t="shared" si="4"/>
        <v>-2.590508546554836</v>
      </c>
    </row>
    <row r="18" spans="1:12" ht="11.25">
      <c r="A18" s="310" t="s">
        <v>128</v>
      </c>
      <c r="B18" s="311">
        <f>Dívida!C9</f>
        <v>-1899773.61</v>
      </c>
      <c r="C18" s="311">
        <f>Dívida!D9</f>
        <v>-1478536.29</v>
      </c>
      <c r="D18" s="305">
        <f t="shared" si="0"/>
        <v>-0.22173027237703336</v>
      </c>
      <c r="E18" s="311">
        <f>Dívida!E9</f>
        <v>797380</v>
      </c>
      <c r="F18" s="305">
        <f t="shared" si="1"/>
        <v>-1.5393036379242337</v>
      </c>
      <c r="G18" s="312">
        <f>Metas!B19</f>
        <v>78380</v>
      </c>
      <c r="H18" s="307">
        <f t="shared" si="2"/>
        <v>-0.9017030775790714</v>
      </c>
      <c r="I18" s="312">
        <f>Metas!E19</f>
        <v>-671620</v>
      </c>
      <c r="J18" s="307">
        <f t="shared" si="3"/>
        <v>-9.568767542740495</v>
      </c>
      <c r="K18" s="313">
        <f>Metas!H19</f>
        <v>-1469620</v>
      </c>
      <c r="L18" s="307">
        <f>K18/I18</f>
        <v>2.188171882909979</v>
      </c>
    </row>
    <row r="19" spans="1:12" ht="11.2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</row>
    <row r="20" spans="1:12" ht="15.75" customHeight="1">
      <c r="A20" s="314" t="s">
        <v>105</v>
      </c>
      <c r="B20" s="382" t="s">
        <v>137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</row>
    <row r="21" spans="1:12" s="302" customFormat="1" ht="15.75" customHeight="1">
      <c r="A21" s="384"/>
      <c r="B21" s="386">
        <f>B9</f>
        <v>2010</v>
      </c>
      <c r="C21" s="386">
        <f>C9</f>
        <v>2011</v>
      </c>
      <c r="D21" s="386" t="s">
        <v>225</v>
      </c>
      <c r="E21" s="386">
        <f>E9</f>
        <v>2012</v>
      </c>
      <c r="F21" s="376" t="s">
        <v>225</v>
      </c>
      <c r="G21" s="386">
        <f>G9</f>
        <v>2013</v>
      </c>
      <c r="H21" s="376" t="s">
        <v>225</v>
      </c>
      <c r="I21" s="386">
        <f>I9</f>
        <v>2014</v>
      </c>
      <c r="J21" s="376" t="s">
        <v>225</v>
      </c>
      <c r="K21" s="386">
        <f>K9</f>
        <v>2015</v>
      </c>
      <c r="L21" s="378" t="s">
        <v>225</v>
      </c>
    </row>
    <row r="22" spans="1:12" s="302" customFormat="1" ht="15.75" customHeight="1">
      <c r="A22" s="385"/>
      <c r="B22" s="387"/>
      <c r="C22" s="387"/>
      <c r="D22" s="387"/>
      <c r="E22" s="387"/>
      <c r="F22" s="388"/>
      <c r="G22" s="387"/>
      <c r="H22" s="388"/>
      <c r="I22" s="387"/>
      <c r="J22" s="388"/>
      <c r="K22" s="387"/>
      <c r="L22" s="380"/>
    </row>
    <row r="23" spans="1:12" ht="11.25">
      <c r="A23" s="303" t="s">
        <v>132</v>
      </c>
      <c r="B23" s="306">
        <f>B11*((1+Parâmetros!C14)*(1+Parâmetros!D14))</f>
        <v>23100264.161099996</v>
      </c>
      <c r="C23" s="304">
        <f>C11*(1+Parâmetros!D14)</f>
        <v>17621507.029</v>
      </c>
      <c r="D23" s="305">
        <f aca="true" t="shared" si="5" ref="D23:D30">(C23/B23)-1</f>
        <v>-0.2371729212225211</v>
      </c>
      <c r="E23" s="304">
        <f>E11</f>
        <v>22907000</v>
      </c>
      <c r="F23" s="305">
        <f aca="true" t="shared" si="6" ref="F23:F30">(E23/C23)-1</f>
        <v>0.29994557005263967</v>
      </c>
      <c r="G23" s="306">
        <f>Metas!C12</f>
        <v>23583562.683875863</v>
      </c>
      <c r="H23" s="305">
        <f aca="true" t="shared" si="7" ref="H23:H30">(G23/E23)-1</f>
        <v>0.02953519377814051</v>
      </c>
      <c r="I23" s="306">
        <f>Metas!F12</f>
        <v>24867107.794333998</v>
      </c>
      <c r="J23" s="305">
        <f aca="true" t="shared" si="8" ref="J23:J30">(I23/G23)-1</f>
        <v>0.05442541178630744</v>
      </c>
      <c r="K23" s="306">
        <f>Metas!I12</f>
        <v>25552687.336260516</v>
      </c>
      <c r="L23" s="305">
        <f aca="true" t="shared" si="9" ref="L23:L30">(K23/I23)-1</f>
        <v>0.027569733786360517</v>
      </c>
    </row>
    <row r="24" spans="1:12" ht="11.25">
      <c r="A24" s="303" t="s">
        <v>240</v>
      </c>
      <c r="B24" s="306">
        <f>B12*((1+Parâmetros!C14)*(1+Parâmetros!D14))</f>
        <v>21386149.437536094</v>
      </c>
      <c r="C24" s="304">
        <f>C12*(1+Parâmetros!D14)</f>
        <v>17417005.41</v>
      </c>
      <c r="D24" s="305">
        <f t="shared" si="5"/>
        <v>-0.1855941406904047</v>
      </c>
      <c r="E24" s="304">
        <f>E12</f>
        <v>22477800</v>
      </c>
      <c r="F24" s="305">
        <f t="shared" si="6"/>
        <v>0.2905662868482739</v>
      </c>
      <c r="G24" s="308">
        <f>Metas!C13</f>
        <v>23185612.60320774</v>
      </c>
      <c r="H24" s="305">
        <f t="shared" si="7"/>
        <v>0.031489407469046826</v>
      </c>
      <c r="I24" s="308">
        <f>Metas!F13</f>
        <v>24508512.64293738</v>
      </c>
      <c r="J24" s="305">
        <f t="shared" si="8"/>
        <v>0.0570569370915226</v>
      </c>
      <c r="K24" s="308">
        <f>Metas!I13</f>
        <v>25209710.067750454</v>
      </c>
      <c r="L24" s="305">
        <f t="shared" si="9"/>
        <v>0.028610362245508947</v>
      </c>
    </row>
    <row r="25" spans="1:12" ht="11.25">
      <c r="A25" s="303" t="s">
        <v>133</v>
      </c>
      <c r="B25" s="306">
        <f>B13*((1+Parâmetros!C14)*(1+Parâmetros!D14))</f>
        <v>23100264.161099996</v>
      </c>
      <c r="C25" s="304">
        <f>C13*(1+Parâmetros!D14)</f>
        <v>17621507.029</v>
      </c>
      <c r="D25" s="305">
        <f t="shared" si="5"/>
        <v>-0.2371729212225211</v>
      </c>
      <c r="E25" s="304">
        <f>E13</f>
        <v>22907000</v>
      </c>
      <c r="F25" s="305">
        <f t="shared" si="6"/>
        <v>0.29994557005263967</v>
      </c>
      <c r="G25" s="308">
        <f>Metas!C14</f>
        <v>23583562.683875863</v>
      </c>
      <c r="H25" s="305">
        <f t="shared" si="7"/>
        <v>0.02953519377814051</v>
      </c>
      <c r="I25" s="308">
        <f>Metas!F14</f>
        <v>24867107.794333998</v>
      </c>
      <c r="J25" s="305">
        <f t="shared" si="8"/>
        <v>0.05442541178630744</v>
      </c>
      <c r="K25" s="308">
        <f>Metas!I14</f>
        <v>25552687.336260516</v>
      </c>
      <c r="L25" s="305">
        <f t="shared" si="9"/>
        <v>0.027569733786360517</v>
      </c>
    </row>
    <row r="26" spans="1:12" ht="11.25">
      <c r="A26" s="303" t="s">
        <v>232</v>
      </c>
      <c r="B26" s="306">
        <f>B14*((1+Parâmetros!C14)*(1+Parâmetros!D14))</f>
        <v>22603127.916599996</v>
      </c>
      <c r="C26" s="304">
        <f>C14*(1+Parâmetros!D14)</f>
        <v>17553724.629</v>
      </c>
      <c r="D26" s="305">
        <f t="shared" si="5"/>
        <v>-0.22339400574252632</v>
      </c>
      <c r="E26" s="304">
        <f>E14</f>
        <v>22450000</v>
      </c>
      <c r="F26" s="305">
        <f t="shared" si="6"/>
        <v>0.278930852254057</v>
      </c>
      <c r="G26" s="308">
        <f>Metas!C15</f>
        <v>23062541.520356838</v>
      </c>
      <c r="H26" s="305">
        <f t="shared" si="7"/>
        <v>0.027284700238611848</v>
      </c>
      <c r="I26" s="308">
        <f>Metas!F15</f>
        <v>24407023.449145883</v>
      </c>
      <c r="J26" s="305">
        <f t="shared" si="8"/>
        <v>0.05829721445064062</v>
      </c>
      <c r="K26" s="308">
        <f>Metas!I15</f>
        <v>25126809.213989507</v>
      </c>
      <c r="L26" s="305">
        <f t="shared" si="9"/>
        <v>0.029490927738212713</v>
      </c>
    </row>
    <row r="27" spans="1:12" ht="11.25">
      <c r="A27" s="303" t="s">
        <v>134</v>
      </c>
      <c r="B27" s="306">
        <f>B24-B26</f>
        <v>-1216978.479063902</v>
      </c>
      <c r="C27" s="308">
        <f>C24-C26</f>
        <v>-136719.2190000005</v>
      </c>
      <c r="D27" s="305">
        <f t="shared" si="5"/>
        <v>-0.8876568309530299</v>
      </c>
      <c r="E27" s="308">
        <f>E24-E26</f>
        <v>27800</v>
      </c>
      <c r="F27" s="305">
        <f t="shared" si="6"/>
        <v>-1.2033364453318</v>
      </c>
      <c r="G27" s="308">
        <f>Metas!C16</f>
        <v>123071.08285090327</v>
      </c>
      <c r="H27" s="305">
        <f t="shared" si="7"/>
        <v>3.427017368737528</v>
      </c>
      <c r="I27" s="308">
        <f>Metas!F16</f>
        <v>101489.1937914975</v>
      </c>
      <c r="J27" s="305">
        <f t="shared" si="8"/>
        <v>-0.17536116981721495</v>
      </c>
      <c r="K27" s="308">
        <f>Metas!I16</f>
        <v>82900.85376094654</v>
      </c>
      <c r="L27" s="305">
        <f t="shared" si="9"/>
        <v>-0.18315585468872098</v>
      </c>
    </row>
    <row r="28" spans="1:12" ht="11.25">
      <c r="A28" s="303" t="s">
        <v>135</v>
      </c>
      <c r="B28" s="306">
        <f>B16*((1+Parâmetros!C14)*(1+Parâmetros!D14))</f>
        <v>465360.75401787716</v>
      </c>
      <c r="C28" s="304">
        <f>C16*(1+Parâmetros!D14)</f>
        <v>446132.44561200007</v>
      </c>
      <c r="D28" s="305">
        <f t="shared" si="5"/>
        <v>-0.04131914485667698</v>
      </c>
      <c r="E28" s="304">
        <f>E16</f>
        <v>2275916.29</v>
      </c>
      <c r="F28" s="305">
        <f t="shared" si="6"/>
        <v>4.1014363837131835</v>
      </c>
      <c r="G28" s="308">
        <f>Metas!C17</f>
        <v>-682357.4072316599</v>
      </c>
      <c r="H28" s="305">
        <f t="shared" si="7"/>
        <v>-1.2998165662901688</v>
      </c>
      <c r="I28" s="308">
        <f>Metas!F17</f>
        <v>-676594.6252766369</v>
      </c>
      <c r="J28" s="305">
        <f t="shared" si="8"/>
        <v>-0.00844540103756286</v>
      </c>
      <c r="K28" s="308">
        <f>Metas!I17</f>
        <v>-682431.2079764354</v>
      </c>
      <c r="L28" s="305">
        <f t="shared" si="9"/>
        <v>0.00862641008626408</v>
      </c>
    </row>
    <row r="29" spans="1:12" ht="11.25">
      <c r="A29" s="303" t="s">
        <v>136</v>
      </c>
      <c r="B29" s="306">
        <f>B17*((1+Parâmetros!C14)*(1+Parâmetros!D14))</f>
        <v>343960.50291491696</v>
      </c>
      <c r="C29" s="304">
        <f>C17*(1+Parâmetros!D14)</f>
        <v>1522329.6451859998</v>
      </c>
      <c r="D29" s="305">
        <f t="shared" si="5"/>
        <v>3.425885042860772</v>
      </c>
      <c r="E29" s="304">
        <f>E17</f>
        <v>1117380</v>
      </c>
      <c r="F29" s="305">
        <f t="shared" si="6"/>
        <v>-0.2660065423192377</v>
      </c>
      <c r="G29" s="308">
        <f>Metas!C18</f>
        <v>624826.8007971908</v>
      </c>
      <c r="H29" s="305">
        <f t="shared" si="7"/>
        <v>-0.44081082461007826</v>
      </c>
      <c r="I29" s="308">
        <f>Metas!F18</f>
        <v>169942.52734615048</v>
      </c>
      <c r="J29" s="305">
        <f t="shared" si="8"/>
        <v>-0.7280165845489857</v>
      </c>
      <c r="K29" s="308">
        <f>Metas!I18</f>
        <v>-256228.11846353332</v>
      </c>
      <c r="L29" s="305">
        <f t="shared" si="9"/>
        <v>-2.507733952559329</v>
      </c>
    </row>
    <row r="30" spans="1:12" ht="11.25">
      <c r="A30" s="310" t="s">
        <v>128</v>
      </c>
      <c r="B30" s="306">
        <f>B18*((1+Parâmetros!C14)*(1+Parâmetros!D14))</f>
        <v>-2098769.595279128</v>
      </c>
      <c r="C30" s="304">
        <f>C18*(1+Parâmetros!D14)</f>
        <v>-1565917.784739</v>
      </c>
      <c r="D30" s="305">
        <f t="shared" si="5"/>
        <v>-0.2538877119902534</v>
      </c>
      <c r="E30" s="304">
        <f>E18</f>
        <v>797380</v>
      </c>
      <c r="F30" s="305">
        <f t="shared" si="6"/>
        <v>-1.5092093644832725</v>
      </c>
      <c r="G30" s="312">
        <f>Metas!C19</f>
        <v>74385.49871880042</v>
      </c>
      <c r="H30" s="305">
        <f t="shared" si="7"/>
        <v>-0.9067126104005613</v>
      </c>
      <c r="I30" s="312">
        <f>Metas!F19</f>
        <v>-605885.9763043933</v>
      </c>
      <c r="J30" s="305">
        <f t="shared" si="8"/>
        <v>-9.145216295380699</v>
      </c>
      <c r="K30" s="312">
        <f>Metas!I19</f>
        <v>-1256785.152714698</v>
      </c>
      <c r="L30" s="305">
        <f t="shared" si="9"/>
        <v>1.0742931869466101</v>
      </c>
    </row>
    <row r="31" spans="1:12" ht="11.25">
      <c r="A31" s="37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</row>
    <row r="33" ht="11.25">
      <c r="A33" s="298" t="s">
        <v>324</v>
      </c>
    </row>
    <row r="34" ht="11.25">
      <c r="A34" s="298" t="s">
        <v>325</v>
      </c>
    </row>
    <row r="35" ht="12.75">
      <c r="A35" s="325" t="s">
        <v>319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95" zoomScaleNormal="95" zoomScalePageLayoutView="0" workbookViewId="0" topLeftCell="A5">
      <selection activeCell="B26" sqref="B26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63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229</v>
      </c>
      <c r="B3" s="364"/>
      <c r="C3" s="364"/>
      <c r="D3" s="364"/>
      <c r="E3" s="364"/>
      <c r="F3" s="364"/>
      <c r="G3" s="365"/>
    </row>
    <row r="4" spans="1:7" ht="12.75">
      <c r="A4" s="367" t="s">
        <v>238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2012</v>
      </c>
      <c r="C8" s="125" t="s">
        <v>21</v>
      </c>
      <c r="D8" s="125">
        <f>B8-1</f>
        <v>2011</v>
      </c>
      <c r="E8" s="125" t="s">
        <v>21</v>
      </c>
      <c r="F8" s="125">
        <f>D8-1</f>
        <v>2010</v>
      </c>
      <c r="G8" s="112" t="s">
        <v>21</v>
      </c>
    </row>
    <row r="9" spans="1:7" ht="15">
      <c r="A9" s="317" t="s">
        <v>140</v>
      </c>
      <c r="B9" s="253">
        <f>D12</f>
        <v>14590723.78</v>
      </c>
      <c r="C9" s="258">
        <f>B9/B12</f>
        <v>0.4723047796890657</v>
      </c>
      <c r="D9" s="253">
        <f>F12</f>
        <v>13012855.86</v>
      </c>
      <c r="E9" s="258">
        <f>D9/D12</f>
        <v>0.8918581460528479</v>
      </c>
      <c r="F9" s="293">
        <v>13012855.86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16301878.64</v>
      </c>
      <c r="C11" s="259">
        <f>B11/B12</f>
        <v>0.5276952203109342</v>
      </c>
      <c r="D11" s="119">
        <v>1577867.92</v>
      </c>
      <c r="E11" s="259">
        <f>D11/D12</f>
        <v>0.10814185394715217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30892602.42</v>
      </c>
      <c r="C12" s="259">
        <f>B12/B12</f>
        <v>1</v>
      </c>
      <c r="D12" s="260">
        <f>SUM(D9:D11)</f>
        <v>14590723.78</v>
      </c>
      <c r="E12" s="259">
        <f>D12/D12</f>
        <v>1</v>
      </c>
      <c r="F12" s="260">
        <f>SUM(F9:F11)</f>
        <v>13012855.86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2012</v>
      </c>
      <c r="C15" s="125" t="s">
        <v>21</v>
      </c>
      <c r="D15" s="125">
        <f>D8</f>
        <v>2011</v>
      </c>
      <c r="E15" s="125" t="s">
        <v>21</v>
      </c>
      <c r="F15" s="125">
        <f>F8</f>
        <v>2010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70"/>
      <c r="B20" s="370"/>
      <c r="C20" s="370"/>
      <c r="D20" s="370"/>
      <c r="E20" s="370"/>
      <c r="F20" s="370"/>
      <c r="G20" s="370"/>
    </row>
    <row r="22" ht="12.75">
      <c r="A22" s="325" t="s">
        <v>319</v>
      </c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NKO_Info</cp:lastModifiedBy>
  <cp:lastPrinted>2013-04-09T16:49:20Z</cp:lastPrinted>
  <dcterms:created xsi:type="dcterms:W3CDTF">2000-07-04T17:38:30Z</dcterms:created>
  <dcterms:modified xsi:type="dcterms:W3CDTF">2014-05-07T12:08:59Z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