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1" activeTab="6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<sst xmlns="http://schemas.openxmlformats.org/spreadsheetml/2006/main" count="534" uniqueCount="349">
  <si>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</si>
  <si>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</si>
  <si>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</si>
  <si>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</si>
  <si>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</si>
  <si>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</si>
  <si>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</si>
  <si>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</si>
  <si>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</si>
  <si>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</si>
  <si>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</si>
  <si>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</si>
  <si>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</si>
  <si>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</si>
  <si>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</si>
  <si>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</si>
  <si>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</si>
  <si>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</si>
  <si>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</si>
  <si>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</si>
  <si>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</si>
  <si>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</si>
  <si>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</si>
  <si>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</si>
  <si>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</si>
  <si>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</si>
  <si>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</si>
  <si>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</si>
  <si>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</si>
  <si>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</si>
  <si>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</si>
  <si>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</si>
  <si>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</si>
  <si>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</si>
  <si>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</si>
  <si>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</si>
  <si>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</si>
  <si>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</si>
  <si>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</si>
  <si>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</si>
  <si>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</si>
  <si>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</si>
  <si>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</si>
  <si>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</si>
  <si>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</si>
  <si>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</si>
  <si>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</si>
  <si>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</si>
  <si>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</si>
  <si>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</si>
  <si>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</si>
  <si>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</si>
  <si>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</si>
  <si>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</si>
  <si>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</si>
  <si>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</si>
  <si>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</si>
  <si>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</si>
  <si>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</si>
  <si>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</si>
  <si>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</si>
  <si>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</si>
  <si>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</si>
  <si>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</si>
  <si>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</si>
  <si>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</si>
  <si>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</si>
  <si>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</si>
  <si>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</si>
  <si>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</si>
  <si>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</si>
  <si>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</si>
  <si>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</si>
  <si>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</si>
  <si>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</si>
  <si>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</si>
  <si>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</si>
  <si>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</si>
  <si>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</si>
  <si>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</si>
  <si>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</si>
  <si>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</si>
  <si>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</si>
  <si>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</si>
  <si>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</si>
  <si>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</si>
  <si>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</si>
  <si>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</si>
  <si>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</si>
  <si>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</si>
  <si>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</si>
  <si>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</si>
  <si>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</si>
  <si>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</si>
  <si>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</si>
  <si>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</si>
  <si>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</si>
  <si>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</si>
  <si>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</si>
  <si>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</si>
  <si>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</si>
  <si>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</si>
  <si>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</si>
  <si>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</si>
  <si>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</si>
  <si>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</si>
  <si>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</si>
  <si>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</si>
  <si>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</si>
  <si>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</si>
  <si>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</si>
  <si>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</si>
  <si>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</si>
  <si>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</si>
  <si>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</si>
  <si>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</si>
  <si>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</si>
  <si>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</si>
  <si>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</si>
  <si>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</si>
  <si>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</si>
  <si>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</si>
  <si>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</si>
  <si>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</si>
  <si>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</si>
  <si>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</si>
  <si>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</si>
  <si>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</si>
  <si>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</si>
  <si>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</si>
  <si>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</si>
  <si>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</si>
  <si>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</si>
  <si>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</si>
  <si>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</si>
  <si>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</si>
  <si>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</si>
  <si>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</si>
  <si>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</si>
  <si>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</si>
  <si>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</si>
  <si>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</si>
  <si>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</si>
  <si>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</si>
  <si>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</si>
  <si>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</si>
  <si>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</si>
  <si>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</si>
  <si>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</si>
  <si>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</si>
  <si>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</si>
  <si>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</si>
  <si>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</si>
  <si>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</si>
  <si>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</si>
  <si>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</si>
  <si>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</si>
  <si>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</si>
  <si>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</si>
  <si>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</si>
  <si>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</si>
  <si>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</si>
  <si>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</si>
  <si>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</si>
  <si>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</si>
  <si>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</si>
  <si>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</si>
  <si>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</si>
  <si>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</si>
  <si>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</si>
  <si>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</si>
  <si>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</si>
  <si>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</si>
  <si>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</si>
  <si>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</si>
  <si>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</si>
  <si>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</si>
  <si>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</si>
  <si>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</si>
  <si>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</si>
  <si>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</si>
  <si>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</si>
  <si>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</si>
  <si>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</si>
  <si>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</si>
  <si>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</si>
  <si>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</si>
  <si>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</si>
  <si>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</si>
  <si>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</si>
  <si>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</si>
  <si>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</si>
  <si>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</si>
  <si>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</si>
  <si>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</si>
  <si>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</si>
  <si>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</si>
  <si>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</si>
  <si>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</si>
  <si>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</si>
  <si>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</si>
  <si>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</si>
  <si>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</si>
  <si>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</si>
  <si>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</si>
  <si>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</si>
  <si>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</si>
  <si>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</si>
  <si>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</si>
  <si>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</si>
  <si>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</si>
  <si>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</si>
  <si>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</si>
  <si>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</si>
  <si>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</si>
  <si>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</si>
  <si>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</si>
  <si>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</si>
  <si>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</si>
  <si>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</si>
  <si>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</si>
  <si>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</si>
  <si>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</si>
  <si>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</si>
  <si>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</si>
  <si>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</si>
  <si>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</si>
  <si>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</si>
  <si>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</si>
  <si>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</si>
  <si>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</si>
  <si>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</si>
  <si>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</si>
  <si>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</si>
  <si>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</si>
  <si>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</si>
  <si>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</si>
  <si>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</si>
  <si>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</si>
  <si>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</si>
  <si>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</si>
  <si>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</si>
  <si>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</si>
  <si>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</si>
  <si>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</si>
  <si>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</si>
  <si>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</si>
  <si>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</si>
  <si>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</si>
  <si>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</si>
  <si>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</si>
  <si>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</si>
  <si>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</si>
  <si>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</si>
  <si>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</si>
  <si>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</si>
  <si>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</si>
  <si>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</si>
  <si>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</si>
  <si>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</si>
  <si>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</si>
  <si>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</si>
  <si>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</si>
  <si>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</si>
  <si>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</si>
  <si>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</si>
  <si>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</si>
  <si>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</si>
  <si>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</si>
  <si>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</si>
  <si>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</si>
  <si>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</si>
  <si>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</si>
  <si>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</si>
  <si>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</si>
  <si>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</si>
  <si>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</si>
  <si>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</si>
  <si>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</si>
  <si>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</si>
  <si>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</si>
  <si>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</si>
  <si>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</si>
  <si>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</si>
  <si>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</si>
  <si>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</si>
  <si>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</si>
  <si>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</si>
  <si>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</si>
  <si>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</si>
  <si>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</si>
  <si>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</si>
  <si>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</si>
  <si>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</si>
  <si>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</si>
  <si>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</si>
  <si>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</si>
  <si>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</si>
  <si>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</si>
  <si>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</si>
  <si>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</si>
  <si>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</si>
  <si>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</si>
  <si>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</si>
  <si>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</si>
  <si>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</si>
  <si>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</si>
  <si>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</si>
  <si>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</si>
  <si>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</si>
  <si>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</si>
  <si>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</si>
  <si>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</si>
  <si>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</si>
  <si>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</si>
  <si>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</si>
  <si>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</si>
  <si>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</si>
  <si>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</si>
  <si>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</si>
  <si>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</si>
  <si>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</si>
  <si>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</si>
  <si>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</si>
  <si>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</si>
  <si>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</si>
  <si>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</si>
  <si>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</si>
  <si>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</si>
  <si>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</si>
  <si>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>Exercício de 2018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</si>
  <si>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</si>
  <si>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</si>
  <si>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</si>
  <si>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</si>
  <si>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</si>
  <si>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</si>
  <si>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</si>
  <si>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</si>
  <si>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</si>
  <si>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</si>
  <si>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</si>
  <si>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</si>
  <si>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</si>
  <si>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</si>
  <si>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</si>
  <si>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</si>
  <si>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</si>
  <si>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Quilombo SC , em 12 de setembro de 2017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</si>
</sst>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5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" fontId="21" fillId="0" borderId="45" xfId="0" applyFont="1" applyBorder="1" applyAlignment="1">
      <alignment horizontal="center" vertical="center" wrapText="1"/>
    </xf>
    <xf numFmtId="169" fontId="21" fillId="0" borderId="0" xfId="0" applyNumberFormat="1" applyFont="1" applyBorder="1" applyAlignment="1">
      <alignment wrapText="1"/>
    </xf>
    <xf numFmtId="169" fontId="21" fillId="0" borderId="35" xfId="0" applyNumberFormat="1" applyFont="1" applyBorder="1" applyAlignment="1">
      <alignment wrapText="1"/>
    </xf>
    <xf numFmtId="171" fontId="21" fillId="0" borderId="34" xfId="62" applyFont="1" applyBorder="1" applyAlignment="1">
      <alignment horizontal="center" vertical="top" wrapText="1"/>
    </xf>
    <xf numFmtId="171" fontId="21" fillId="0" borderId="34" xfId="62" applyFont="1" applyBorder="1" applyAlignment="1">
      <alignment wrapText="1"/>
    </xf>
    <xf numFmtId="171" fontId="21" fillId="0" borderId="30" xfId="62" applyFont="1" applyBorder="1" applyAlignment="1">
      <alignment wrapText="1"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0" fillId="0" borderId="0" xfId="0" applyAlignment="1">
      <alignment horizontal="center"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1" fillId="0" borderId="44" xfId="0" applyNumberFormat="1" applyFont="1" applyBorder="1" applyAlignment="1">
      <alignment wrapText="1"/>
    </xf>
    <xf numFmtId="169" fontId="21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0">
      <selection activeCell="E35" sqref="E35"/>
    </sheetView>
  </sheetViews>
  <sheetFormatPr defaultColWidth="9.140625" defaultRowHeight="12.75"/>
  <cols>
    <col min="1" max="1" width="16.28125" style="315" customWidth="1"/>
    <col min="2" max="16384" width="9.140625" style="315" customWidth="1"/>
  </cols>
  <sheetData>
    <row r="1" spans="1:10" ht="25.5">
      <c r="A1" s="344"/>
      <c r="B1" s="344"/>
      <c r="C1" s="344"/>
      <c r="D1" s="344"/>
      <c r="E1" s="344"/>
      <c r="F1" s="344"/>
      <c r="G1" s="344"/>
      <c r="H1" s="344"/>
      <c r="I1" s="344"/>
      <c r="J1" s="344"/>
    </row>
    <row r="3" spans="1:10" ht="20.25">
      <c r="A3" s="345" t="s">
        <v>319</v>
      </c>
      <c r="B3" s="345"/>
      <c r="C3" s="345"/>
      <c r="D3" s="345"/>
      <c r="E3" s="345"/>
      <c r="F3" s="345"/>
      <c r="G3" s="345"/>
      <c r="H3" s="345"/>
      <c r="I3" s="345"/>
      <c r="J3" s="345"/>
    </row>
    <row r="7" spans="1:10" ht="20.25">
      <c r="A7" s="345" t="s">
        <v>299</v>
      </c>
      <c r="B7" s="345"/>
      <c r="C7" s="345"/>
      <c r="D7" s="345"/>
      <c r="E7" s="345"/>
      <c r="F7" s="345"/>
      <c r="G7" s="345"/>
      <c r="H7" s="345"/>
      <c r="I7" s="345"/>
      <c r="J7" s="345"/>
    </row>
    <row r="11" spans="1:10" ht="23.25">
      <c r="A11" s="338" t="s">
        <v>300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43" t="s">
        <v>301</v>
      </c>
      <c r="B14" s="343"/>
      <c r="C14" s="343"/>
      <c r="D14" s="343"/>
      <c r="E14" s="343"/>
      <c r="F14" s="343"/>
      <c r="G14" s="343"/>
      <c r="H14" s="343"/>
      <c r="I14" s="343"/>
      <c r="J14" s="343"/>
    </row>
    <row r="17" spans="1:10" ht="15">
      <c r="A17" s="339" t="s">
        <v>330</v>
      </c>
      <c r="B17" s="339"/>
      <c r="C17" s="339"/>
      <c r="D17" s="339"/>
      <c r="E17" s="339"/>
      <c r="F17" s="339"/>
      <c r="G17" s="339"/>
      <c r="H17" s="339"/>
      <c r="I17" s="339"/>
      <c r="J17" s="339"/>
    </row>
    <row r="18" ht="15.75" thickBot="1"/>
    <row r="19" spans="2:9" ht="15.75" thickBot="1">
      <c r="B19" s="346" t="s">
        <v>304</v>
      </c>
      <c r="C19" s="347"/>
      <c r="E19" s="336" t="s">
        <v>305</v>
      </c>
      <c r="F19" s="337"/>
      <c r="H19" s="336" t="s">
        <v>306</v>
      </c>
      <c r="I19" s="337"/>
    </row>
    <row r="20" ht="15.75" thickBot="1"/>
    <row r="21" spans="2:9" ht="15.75" thickBot="1">
      <c r="B21" s="336" t="s">
        <v>307</v>
      </c>
      <c r="C21" s="337"/>
      <c r="E21" s="336" t="s">
        <v>308</v>
      </c>
      <c r="F21" s="337"/>
      <c r="H21" s="336" t="s">
        <v>309</v>
      </c>
      <c r="I21" s="337"/>
    </row>
    <row r="22" ht="15.75" thickBot="1"/>
    <row r="23" spans="2:9" ht="15.75" thickBot="1">
      <c r="B23" s="340" t="s">
        <v>310</v>
      </c>
      <c r="C23" s="341"/>
      <c r="E23" s="336" t="s">
        <v>311</v>
      </c>
      <c r="F23" s="337"/>
      <c r="H23" s="336" t="s">
        <v>312</v>
      </c>
      <c r="I23" s="337"/>
    </row>
    <row r="24" spans="2:9" ht="15.75" thickBot="1">
      <c r="B24" s="319"/>
      <c r="C24" s="319"/>
      <c r="E24" s="319"/>
      <c r="F24" s="319"/>
      <c r="H24" s="319"/>
      <c r="I24" s="319"/>
    </row>
    <row r="25" spans="2:9" ht="15.75" thickBot="1">
      <c r="B25" s="336" t="s">
        <v>313</v>
      </c>
      <c r="C25" s="337"/>
      <c r="E25" s="336" t="s">
        <v>314</v>
      </c>
      <c r="F25" s="337"/>
      <c r="H25" s="336" t="s">
        <v>315</v>
      </c>
      <c r="I25" s="337"/>
    </row>
    <row r="27" spans="1:10" ht="15">
      <c r="A27" s="339" t="s">
        <v>302</v>
      </c>
      <c r="B27" s="339"/>
      <c r="C27" s="339"/>
      <c r="D27" s="339"/>
      <c r="E27" s="339"/>
      <c r="F27" s="339"/>
      <c r="G27" s="339"/>
      <c r="H27" s="339"/>
      <c r="I27" s="339"/>
      <c r="J27" s="339"/>
    </row>
    <row r="32" ht="15">
      <c r="E32" s="315">
        <v>2018</v>
      </c>
    </row>
    <row r="33" spans="1:10" ht="15">
      <c r="A33" s="342"/>
      <c r="B33" s="342"/>
      <c r="C33" s="342"/>
      <c r="D33" s="342"/>
      <c r="E33" s="342"/>
      <c r="F33" s="342"/>
      <c r="G33" s="342"/>
      <c r="H33" s="342"/>
      <c r="I33" s="342"/>
      <c r="J33" s="342"/>
    </row>
    <row r="39" spans="1:10" ht="15">
      <c r="A39" s="339" t="s">
        <v>348</v>
      </c>
      <c r="B39" s="339"/>
      <c r="C39" s="339"/>
      <c r="D39" s="339"/>
      <c r="E39" s="339"/>
      <c r="F39" s="339"/>
      <c r="G39" s="339"/>
      <c r="H39" s="339"/>
      <c r="I39" s="339"/>
      <c r="J39" s="339"/>
    </row>
  </sheetData>
  <sheetProtection/>
  <mergeCells count="21">
    <mergeCell ref="A1:J1"/>
    <mergeCell ref="A3:J3"/>
    <mergeCell ref="A7:J7"/>
    <mergeCell ref="B19:C19"/>
    <mergeCell ref="H19:I19"/>
    <mergeCell ref="A39:J39"/>
    <mergeCell ref="A27:J27"/>
    <mergeCell ref="A33:J33"/>
    <mergeCell ref="B21:C21"/>
    <mergeCell ref="E21:F21"/>
    <mergeCell ref="A14:J14"/>
    <mergeCell ref="H23:I23"/>
    <mergeCell ref="H25:I25"/>
    <mergeCell ref="B25:C25"/>
    <mergeCell ref="E25:F25"/>
    <mergeCell ref="H21:I21"/>
    <mergeCell ref="E23:F23"/>
    <mergeCell ref="A11:J11"/>
    <mergeCell ref="A17:J17"/>
    <mergeCell ref="E19:F19"/>
    <mergeCell ref="B23:C23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zoomScalePageLayoutView="0" workbookViewId="0" topLeftCell="A8">
      <selection activeCell="A20" sqref="A20"/>
    </sheetView>
  </sheetViews>
  <sheetFormatPr defaultColWidth="9.140625" defaultRowHeight="12.75"/>
  <cols>
    <col min="1" max="1" width="58.421875" style="123" customWidth="1"/>
    <col min="2" max="2" width="17.421875" style="123" customWidth="1"/>
    <col min="3" max="3" width="19.421875" style="123" customWidth="1"/>
    <col min="4" max="4" width="19.7109375" style="123" customWidth="1"/>
    <col min="5" max="16384" width="9.140625" style="123" customWidth="1"/>
  </cols>
  <sheetData>
    <row r="1" spans="1:4" ht="14.25">
      <c r="A1" s="397" t="str">
        <f>DADOS!A3</f>
        <v>MUNICIPIO DE QUILOMBO</v>
      </c>
      <c r="B1" s="398"/>
      <c r="C1" s="398"/>
      <c r="D1" s="399"/>
    </row>
    <row r="2" spans="1:4" ht="14.25">
      <c r="A2" s="400" t="s">
        <v>48</v>
      </c>
      <c r="B2" s="398"/>
      <c r="C2" s="398"/>
      <c r="D2" s="399"/>
    </row>
    <row r="3" spans="1:4" ht="14.25">
      <c r="A3" s="400" t="s">
        <v>228</v>
      </c>
      <c r="B3" s="398"/>
      <c r="C3" s="398"/>
      <c r="D3" s="399"/>
    </row>
    <row r="4" spans="1:4" ht="14.25">
      <c r="A4" s="401" t="s">
        <v>238</v>
      </c>
      <c r="B4" s="402"/>
      <c r="C4" s="402"/>
      <c r="D4" s="403"/>
    </row>
    <row r="5" spans="1:4" ht="14.25">
      <c r="A5" s="400" t="str">
        <f>DADOS!A17</f>
        <v>Exercício de 2018</v>
      </c>
      <c r="B5" s="398"/>
      <c r="C5" s="398"/>
      <c r="D5" s="399"/>
    </row>
    <row r="6" spans="1:4" ht="14.25">
      <c r="A6" s="404" t="s">
        <v>317</v>
      </c>
      <c r="B6" s="405"/>
      <c r="C6" s="405"/>
      <c r="D6" s="406"/>
    </row>
    <row r="7" spans="1:4" ht="14.25">
      <c r="A7" s="124" t="s">
        <v>138</v>
      </c>
      <c r="B7" s="124"/>
      <c r="C7" s="124"/>
      <c r="D7" s="125">
        <v>1</v>
      </c>
    </row>
    <row r="8" spans="1:4" s="128" customFormat="1" ht="25.5" customHeight="1">
      <c r="A8" s="126" t="s">
        <v>144</v>
      </c>
      <c r="B8" s="126">
        <f>DADOS!E32-2</f>
        <v>2016</v>
      </c>
      <c r="C8" s="126">
        <f>B8-1</f>
        <v>2015</v>
      </c>
      <c r="D8" s="127">
        <f>C8-1</f>
        <v>2014</v>
      </c>
    </row>
    <row r="9" spans="1:4" ht="12.75" customHeight="1">
      <c r="A9" s="129" t="s">
        <v>75</v>
      </c>
      <c r="B9" s="130">
        <v>0</v>
      </c>
      <c r="C9" s="130">
        <v>0</v>
      </c>
      <c r="D9" s="130">
        <v>0</v>
      </c>
    </row>
    <row r="10" spans="1:4" ht="12.75" customHeight="1">
      <c r="A10" s="129" t="s">
        <v>145</v>
      </c>
      <c r="B10" s="130">
        <v>0</v>
      </c>
      <c r="C10" s="130">
        <v>0</v>
      </c>
      <c r="D10" s="130">
        <v>0</v>
      </c>
    </row>
    <row r="11" spans="1:4" ht="12.75" customHeight="1">
      <c r="A11" s="129" t="s">
        <v>146</v>
      </c>
      <c r="B11" s="224">
        <f>Plano!E16</f>
        <v>125300</v>
      </c>
      <c r="C11" s="224">
        <f>Plano!D16</f>
        <v>145463</v>
      </c>
      <c r="D11" s="130">
        <v>0</v>
      </c>
    </row>
    <row r="12" spans="1:4" ht="12.75" customHeight="1">
      <c r="A12" s="131" t="s">
        <v>147</v>
      </c>
      <c r="B12" s="225">
        <v>0</v>
      </c>
      <c r="C12" s="225">
        <v>0</v>
      </c>
      <c r="D12" s="132">
        <v>0</v>
      </c>
    </row>
    <row r="13" spans="1:4" ht="14.25">
      <c r="A13" s="131" t="s">
        <v>148</v>
      </c>
      <c r="B13" s="143">
        <f>B11+B12</f>
        <v>125300</v>
      </c>
      <c r="C13" s="143">
        <f>C11+C12</f>
        <v>145463</v>
      </c>
      <c r="D13" s="143">
        <f>D11+D12</f>
        <v>0</v>
      </c>
    </row>
    <row r="14" spans="1:4" ht="14.25">
      <c r="A14" s="407"/>
      <c r="B14" s="407"/>
      <c r="C14" s="407"/>
      <c r="D14" s="407"/>
    </row>
    <row r="15" spans="1:4" s="128" customFormat="1" ht="14.25">
      <c r="A15" s="411" t="s">
        <v>227</v>
      </c>
      <c r="B15" s="413">
        <f>B8</f>
        <v>2016</v>
      </c>
      <c r="C15" s="413">
        <f>C8</f>
        <v>2015</v>
      </c>
      <c r="D15" s="415">
        <f>D8</f>
        <v>2014</v>
      </c>
    </row>
    <row r="16" spans="1:4" s="128" customFormat="1" ht="14.25">
      <c r="A16" s="412"/>
      <c r="B16" s="414"/>
      <c r="C16" s="414"/>
      <c r="D16" s="416"/>
    </row>
    <row r="17" spans="1:4" ht="28.5">
      <c r="A17" s="129" t="s">
        <v>149</v>
      </c>
      <c r="B17" s="129">
        <v>0</v>
      </c>
      <c r="C17" s="129">
        <v>0</v>
      </c>
      <c r="D17" s="133">
        <v>0</v>
      </c>
    </row>
    <row r="18" spans="1:4" ht="14.25">
      <c r="A18" s="129" t="s">
        <v>150</v>
      </c>
      <c r="B18" s="317">
        <f>B19+B20+B21</f>
        <v>11808</v>
      </c>
      <c r="C18" s="317">
        <f>C19+C20+C21</f>
        <v>145463</v>
      </c>
      <c r="D18" s="317">
        <f>D19+D20+D21</f>
        <v>0</v>
      </c>
    </row>
    <row r="19" spans="1:4" ht="14.25">
      <c r="A19" s="129" t="s">
        <v>151</v>
      </c>
      <c r="B19" s="130">
        <v>11808</v>
      </c>
      <c r="C19" s="130">
        <f>C11</f>
        <v>145463</v>
      </c>
      <c r="D19" s="130">
        <f>D11</f>
        <v>0</v>
      </c>
    </row>
    <row r="20" spans="1:4" ht="14.25">
      <c r="A20" s="129" t="s">
        <v>152</v>
      </c>
      <c r="B20" s="129">
        <v>0</v>
      </c>
      <c r="C20" s="129">
        <v>0</v>
      </c>
      <c r="D20" s="133">
        <v>0</v>
      </c>
    </row>
    <row r="21" spans="1:4" ht="14.25">
      <c r="A21" s="129" t="s">
        <v>153</v>
      </c>
      <c r="B21" s="129">
        <v>0</v>
      </c>
      <c r="C21" s="129">
        <v>0</v>
      </c>
      <c r="D21" s="133">
        <v>0</v>
      </c>
    </row>
    <row r="22" spans="1:4" ht="14.25">
      <c r="A22" s="129" t="s">
        <v>154</v>
      </c>
      <c r="B22" s="256">
        <f>B23+B24</f>
        <v>0</v>
      </c>
      <c r="C22" s="256">
        <f>C23+C24</f>
        <v>0</v>
      </c>
      <c r="D22" s="256">
        <f>D23+D24</f>
        <v>0</v>
      </c>
    </row>
    <row r="23" spans="1:4" ht="14.25">
      <c r="A23" s="129" t="s">
        <v>155</v>
      </c>
      <c r="B23" s="129">
        <v>0</v>
      </c>
      <c r="C23" s="129">
        <v>0</v>
      </c>
      <c r="D23" s="133">
        <v>0</v>
      </c>
    </row>
    <row r="24" spans="1:4" ht="14.25">
      <c r="A24" s="131" t="s">
        <v>156</v>
      </c>
      <c r="B24" s="131">
        <v>0</v>
      </c>
      <c r="C24" s="131">
        <v>0</v>
      </c>
      <c r="D24" s="134">
        <v>0</v>
      </c>
    </row>
    <row r="25" spans="1:4" ht="14.25">
      <c r="A25" s="131" t="s">
        <v>148</v>
      </c>
      <c r="B25" s="318">
        <f>B18+B22</f>
        <v>11808</v>
      </c>
      <c r="C25" s="318">
        <f>C18+C22</f>
        <v>145463</v>
      </c>
      <c r="D25" s="318">
        <f>D18+D22</f>
        <v>0</v>
      </c>
    </row>
    <row r="26" spans="1:4" ht="14.25">
      <c r="A26" s="408" t="s">
        <v>157</v>
      </c>
      <c r="B26" s="131">
        <v>0</v>
      </c>
      <c r="C26" s="131">
        <v>0</v>
      </c>
      <c r="D26" s="134">
        <v>0</v>
      </c>
    </row>
    <row r="27" spans="1:4" ht="14.25">
      <c r="A27" s="409"/>
      <c r="B27" s="143">
        <f>C27+B13-B25</f>
        <v>113492</v>
      </c>
      <c r="C27" s="143">
        <f>D27+C13-C25</f>
        <v>0</v>
      </c>
      <c r="D27" s="257">
        <f>D13-D25</f>
        <v>0</v>
      </c>
    </row>
    <row r="28" spans="1:4" ht="14.25">
      <c r="A28" s="410"/>
      <c r="B28" s="410"/>
      <c r="C28" s="410"/>
      <c r="D28" s="410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1"/>
    </row>
    <row r="2" spans="1:6" ht="12.75">
      <c r="A2" s="353" t="s">
        <v>48</v>
      </c>
      <c r="B2" s="351"/>
      <c r="C2" s="351"/>
      <c r="D2" s="351"/>
      <c r="E2" s="351"/>
      <c r="F2" s="351"/>
    </row>
    <row r="3" spans="1:6" ht="12.75">
      <c r="A3" s="353" t="s">
        <v>232</v>
      </c>
      <c r="B3" s="351"/>
      <c r="C3" s="351"/>
      <c r="D3" s="351"/>
      <c r="E3" s="351"/>
      <c r="F3" s="351"/>
    </row>
    <row r="4" spans="1:6" ht="12.75">
      <c r="A4" s="354" t="s">
        <v>240</v>
      </c>
      <c r="B4" s="355"/>
      <c r="C4" s="355"/>
      <c r="D4" s="355"/>
      <c r="E4" s="355"/>
      <c r="F4" s="355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1"/>
    </row>
    <row r="6" spans="1:6" ht="12.75">
      <c r="A6" s="405" t="s">
        <v>317</v>
      </c>
      <c r="B6" s="405"/>
      <c r="C6" s="405"/>
      <c r="D6" s="405"/>
      <c r="E6" s="405"/>
      <c r="F6" s="406"/>
    </row>
    <row r="7" spans="1:6" ht="15.75">
      <c r="A7" s="417" t="s">
        <v>158</v>
      </c>
      <c r="B7" s="417"/>
      <c r="C7" s="418"/>
      <c r="D7" s="84"/>
      <c r="E7" s="84"/>
      <c r="F7" s="102">
        <v>1</v>
      </c>
    </row>
    <row r="8" spans="1:6" s="146" customFormat="1" ht="25.5" customHeight="1">
      <c r="A8" s="419" t="s">
        <v>159</v>
      </c>
      <c r="B8" s="419"/>
      <c r="C8" s="420"/>
      <c r="D8" s="147">
        <f>DADOS!E32-4</f>
        <v>2014</v>
      </c>
      <c r="E8" s="147">
        <f>D8+1</f>
        <v>2015</v>
      </c>
      <c r="F8" s="147">
        <f>E8+1</f>
        <v>2016</v>
      </c>
    </row>
    <row r="9" spans="1:6" ht="15.75">
      <c r="A9" s="421" t="s">
        <v>2</v>
      </c>
      <c r="B9" s="421"/>
      <c r="C9" s="421"/>
      <c r="D9" s="258">
        <f>D10+D15+D16</f>
        <v>0</v>
      </c>
      <c r="E9" s="258">
        <f>E10+E15+E16</f>
        <v>0</v>
      </c>
      <c r="F9" s="258">
        <f>F10+F15+F16</f>
        <v>0</v>
      </c>
    </row>
    <row r="10" spans="1:6" ht="15.75">
      <c r="A10" s="422" t="s">
        <v>160</v>
      </c>
      <c r="B10" s="422"/>
      <c r="C10" s="422"/>
      <c r="D10" s="259">
        <f>D11+D12+D13+D14</f>
        <v>0</v>
      </c>
      <c r="E10" s="259">
        <f>E11+E12+E13+E14</f>
        <v>0</v>
      </c>
      <c r="F10" s="259">
        <f>F11+F12+F13+F14</f>
        <v>0</v>
      </c>
    </row>
    <row r="11" spans="1:6" ht="15.75">
      <c r="A11" s="422" t="s">
        <v>161</v>
      </c>
      <c r="B11" s="422"/>
      <c r="C11" s="422"/>
      <c r="D11" s="152"/>
      <c r="E11" s="152"/>
      <c r="F11" s="152"/>
    </row>
    <row r="12" spans="1:6" ht="15.75">
      <c r="A12" s="422" t="s">
        <v>162</v>
      </c>
      <c r="B12" s="422"/>
      <c r="C12" s="422"/>
      <c r="D12" s="152"/>
      <c r="E12" s="152"/>
      <c r="F12" s="152"/>
    </row>
    <row r="13" spans="1:6" ht="15.75">
      <c r="A13" s="422" t="s">
        <v>163</v>
      </c>
      <c r="B13" s="422"/>
      <c r="C13" s="422"/>
      <c r="D13" s="152">
        <v>0</v>
      </c>
      <c r="E13" s="152">
        <v>0</v>
      </c>
      <c r="F13" s="152">
        <v>0</v>
      </c>
    </row>
    <row r="14" spans="1:6" ht="15.75">
      <c r="A14" s="422" t="s">
        <v>164</v>
      </c>
      <c r="B14" s="422"/>
      <c r="C14" s="422"/>
      <c r="D14" s="152"/>
      <c r="E14" s="152"/>
      <c r="F14" s="152"/>
    </row>
    <row r="15" spans="1:6" ht="15.75">
      <c r="A15" s="422" t="s">
        <v>165</v>
      </c>
      <c r="B15" s="422"/>
      <c r="C15" s="422"/>
      <c r="D15" s="152"/>
      <c r="E15" s="152"/>
      <c r="F15" s="152"/>
    </row>
    <row r="16" spans="1:6" ht="15.75">
      <c r="A16" s="422" t="s">
        <v>166</v>
      </c>
      <c r="B16" s="422"/>
      <c r="C16" s="422"/>
      <c r="D16" s="152"/>
      <c r="E16" s="152"/>
      <c r="F16" s="152"/>
    </row>
    <row r="17" spans="1:6" ht="15.75">
      <c r="A17" s="421" t="s">
        <v>75</v>
      </c>
      <c r="B17" s="421"/>
      <c r="C17" s="421"/>
      <c r="D17" s="258">
        <f>D18+D19</f>
        <v>0</v>
      </c>
      <c r="E17" s="258">
        <f>E18+E19</f>
        <v>0</v>
      </c>
      <c r="F17" s="258">
        <f>F18+F19</f>
        <v>0</v>
      </c>
    </row>
    <row r="18" spans="1:6" ht="15.75">
      <c r="A18" s="422" t="s">
        <v>167</v>
      </c>
      <c r="B18" s="422"/>
      <c r="C18" s="422"/>
      <c r="D18" s="152"/>
      <c r="E18" s="152"/>
      <c r="F18" s="152"/>
    </row>
    <row r="19" spans="1:6" ht="15.75">
      <c r="A19" s="422" t="s">
        <v>168</v>
      </c>
      <c r="B19" s="422"/>
      <c r="C19" s="422"/>
      <c r="D19" s="152"/>
      <c r="E19" s="152"/>
      <c r="F19" s="152"/>
    </row>
    <row r="20" spans="1:6" s="144" customFormat="1" ht="15.75">
      <c r="A20" s="421" t="s">
        <v>169</v>
      </c>
      <c r="B20" s="421"/>
      <c r="C20" s="421"/>
      <c r="D20" s="258">
        <f>D21+D24+D27+D28</f>
        <v>0</v>
      </c>
      <c r="E20" s="258">
        <f>E21+E24+E27+E28</f>
        <v>0</v>
      </c>
      <c r="F20" s="258">
        <f>F21+F24+F27+F28</f>
        <v>0</v>
      </c>
    </row>
    <row r="21" spans="1:6" ht="15.75">
      <c r="A21" s="422" t="s">
        <v>170</v>
      </c>
      <c r="B21" s="422"/>
      <c r="C21" s="422"/>
      <c r="D21" s="259">
        <f>D22+D23</f>
        <v>0</v>
      </c>
      <c r="E21" s="259">
        <f>E22+E23</f>
        <v>0</v>
      </c>
      <c r="F21" s="259">
        <f>F22+F23</f>
        <v>0</v>
      </c>
    </row>
    <row r="22" spans="1:6" ht="15.75">
      <c r="A22" s="422" t="s">
        <v>161</v>
      </c>
      <c r="B22" s="422"/>
      <c r="C22" s="422"/>
      <c r="D22" s="152"/>
      <c r="E22" s="152"/>
      <c r="F22" s="152"/>
    </row>
    <row r="23" spans="1:6" ht="15.75">
      <c r="A23" s="422" t="s">
        <v>162</v>
      </c>
      <c r="B23" s="422"/>
      <c r="C23" s="422"/>
      <c r="D23" s="152"/>
      <c r="E23" s="152"/>
      <c r="F23" s="152"/>
    </row>
    <row r="24" spans="1:6" ht="15.75">
      <c r="A24" s="422" t="s">
        <v>171</v>
      </c>
      <c r="B24" s="422"/>
      <c r="C24" s="422"/>
      <c r="D24" s="259">
        <f>D25+D26</f>
        <v>0</v>
      </c>
      <c r="E24" s="259">
        <f>E25+E26</f>
        <v>0</v>
      </c>
      <c r="F24" s="259">
        <f>F25+F26</f>
        <v>0</v>
      </c>
    </row>
    <row r="25" spans="1:6" ht="15.75">
      <c r="A25" s="422" t="s">
        <v>161</v>
      </c>
      <c r="B25" s="422"/>
      <c r="C25" s="422"/>
      <c r="D25" s="152"/>
      <c r="E25" s="152"/>
      <c r="F25" s="152"/>
    </row>
    <row r="26" spans="1:6" ht="15.75">
      <c r="A26" s="422" t="s">
        <v>162</v>
      </c>
      <c r="B26" s="422"/>
      <c r="C26" s="422"/>
      <c r="D26" s="152"/>
      <c r="E26" s="152"/>
      <c r="F26" s="152"/>
    </row>
    <row r="27" spans="1:6" ht="15.75">
      <c r="A27" s="422" t="s">
        <v>172</v>
      </c>
      <c r="B27" s="422"/>
      <c r="C27" s="422"/>
      <c r="D27" s="152"/>
      <c r="E27" s="152"/>
      <c r="F27" s="152"/>
    </row>
    <row r="28" spans="1:6" ht="15.75">
      <c r="A28" s="150" t="s">
        <v>241</v>
      </c>
      <c r="B28" s="150"/>
      <c r="C28" s="150"/>
      <c r="D28" s="152"/>
      <c r="E28" s="152"/>
      <c r="F28" s="152"/>
    </row>
    <row r="29" spans="1:6" s="144" customFormat="1" ht="15.75">
      <c r="A29" s="424" t="s">
        <v>173</v>
      </c>
      <c r="B29" s="424"/>
      <c r="C29" s="425"/>
      <c r="D29" s="260">
        <f>D9+D17+D20</f>
        <v>0</v>
      </c>
      <c r="E29" s="260">
        <f>E9+E17+E20</f>
        <v>0</v>
      </c>
      <c r="F29" s="260">
        <f>F9+F17+F20</f>
        <v>0</v>
      </c>
    </row>
    <row r="30" spans="1:6" s="146" customFormat="1" ht="25.5" customHeight="1">
      <c r="A30" s="419" t="s">
        <v>174</v>
      </c>
      <c r="B30" s="419"/>
      <c r="C30" s="420"/>
      <c r="D30" s="145">
        <f>D8</f>
        <v>2014</v>
      </c>
      <c r="E30" s="145">
        <f>E8</f>
        <v>2015</v>
      </c>
      <c r="F30" s="145">
        <f>F8</f>
        <v>2016</v>
      </c>
    </row>
    <row r="31" spans="1:6" s="144" customFormat="1" ht="15.75">
      <c r="A31" s="421" t="s">
        <v>175</v>
      </c>
      <c r="B31" s="421"/>
      <c r="C31" s="426"/>
      <c r="D31" s="261">
        <f>D32+D33</f>
        <v>0</v>
      </c>
      <c r="E31" s="261">
        <f>E32+E33</f>
        <v>0</v>
      </c>
      <c r="F31" s="261">
        <f>F32+F33</f>
        <v>0</v>
      </c>
    </row>
    <row r="32" spans="1:6" ht="15.75">
      <c r="A32" s="422" t="s">
        <v>176</v>
      </c>
      <c r="B32" s="422"/>
      <c r="C32" s="423"/>
      <c r="D32" s="135"/>
      <c r="E32" s="135"/>
      <c r="F32" s="136"/>
    </row>
    <row r="33" spans="1:6" ht="15.75">
      <c r="A33" s="422" t="s">
        <v>177</v>
      </c>
      <c r="B33" s="422"/>
      <c r="C33" s="423"/>
      <c r="D33" s="135"/>
      <c r="E33" s="135"/>
      <c r="F33" s="136"/>
    </row>
    <row r="34" spans="1:6" s="144" customFormat="1" ht="15.75">
      <c r="A34" s="421" t="s">
        <v>178</v>
      </c>
      <c r="B34" s="421"/>
      <c r="C34" s="426"/>
      <c r="D34" s="261">
        <f>D35+D36+D37</f>
        <v>0</v>
      </c>
      <c r="E34" s="261">
        <f>E35+E36+E37</f>
        <v>0</v>
      </c>
      <c r="F34" s="261">
        <f>F35+F36+F37</f>
        <v>0</v>
      </c>
    </row>
    <row r="35" spans="1:6" ht="15.75">
      <c r="A35" s="422" t="s">
        <v>179</v>
      </c>
      <c r="B35" s="422"/>
      <c r="C35" s="423"/>
      <c r="D35" s="135"/>
      <c r="E35" s="135"/>
      <c r="F35" s="136"/>
    </row>
    <row r="36" spans="1:6" ht="15.75">
      <c r="A36" s="422" t="s">
        <v>180</v>
      </c>
      <c r="B36" s="422"/>
      <c r="C36" s="423"/>
      <c r="D36" s="135"/>
      <c r="E36" s="135"/>
      <c r="F36" s="136"/>
    </row>
    <row r="37" spans="1:6" ht="15.75">
      <c r="A37" s="422" t="s">
        <v>181</v>
      </c>
      <c r="B37" s="422"/>
      <c r="C37" s="423"/>
      <c r="D37" s="262">
        <f>D38+D39</f>
        <v>0</v>
      </c>
      <c r="E37" s="262">
        <f>E38+E39</f>
        <v>0</v>
      </c>
      <c r="F37" s="262">
        <f>F38+F39</f>
        <v>0</v>
      </c>
    </row>
    <row r="38" spans="1:6" ht="15.75">
      <c r="A38" s="422" t="s">
        <v>182</v>
      </c>
      <c r="B38" s="422"/>
      <c r="C38" s="423"/>
      <c r="D38" s="135"/>
      <c r="E38" s="135"/>
      <c r="F38" s="136"/>
    </row>
    <row r="39" spans="1:6" ht="15.75">
      <c r="A39" s="422" t="s">
        <v>183</v>
      </c>
      <c r="B39" s="422"/>
      <c r="C39" s="423"/>
      <c r="D39" s="137"/>
      <c r="E39" s="137"/>
      <c r="F39" s="138"/>
    </row>
    <row r="40" spans="1:6" ht="15.75">
      <c r="A40" s="150" t="s">
        <v>242</v>
      </c>
      <c r="B40" s="150"/>
      <c r="C40" s="151"/>
      <c r="D40" s="137"/>
      <c r="E40" s="137"/>
      <c r="F40" s="138"/>
    </row>
    <row r="41" spans="1:6" s="144" customFormat="1" ht="15.75">
      <c r="A41" s="424" t="s">
        <v>184</v>
      </c>
      <c r="B41" s="424"/>
      <c r="C41" s="425"/>
      <c r="D41" s="263">
        <f>D31+D34</f>
        <v>0</v>
      </c>
      <c r="E41" s="263">
        <f>E31+E34</f>
        <v>0</v>
      </c>
      <c r="F41" s="263">
        <f>F31+F34</f>
        <v>0</v>
      </c>
    </row>
    <row r="42" spans="1:6" s="144" customFormat="1" ht="15.75">
      <c r="A42" s="424" t="s">
        <v>185</v>
      </c>
      <c r="B42" s="424"/>
      <c r="C42" s="425"/>
      <c r="D42" s="263">
        <f>D29-D41</f>
        <v>0</v>
      </c>
      <c r="E42" s="263">
        <f>E29-E41</f>
        <v>0</v>
      </c>
      <c r="F42" s="263">
        <f>F29-F41</f>
        <v>0</v>
      </c>
    </row>
    <row r="43" spans="1:6" s="144" customFormat="1" ht="15.75">
      <c r="A43" s="424" t="s">
        <v>186</v>
      </c>
      <c r="B43" s="424"/>
      <c r="C43" s="425"/>
      <c r="D43" s="148"/>
      <c r="E43" s="148"/>
      <c r="F43" s="149"/>
    </row>
    <row r="44" spans="1:6" ht="12.75">
      <c r="A44" s="427"/>
      <c r="B44" s="427"/>
      <c r="C44" s="427"/>
      <c r="D44" s="427"/>
      <c r="E44" s="427"/>
      <c r="F44" s="427"/>
    </row>
    <row r="45" spans="1:6" ht="12.75">
      <c r="A45" s="342"/>
      <c r="B45" s="342"/>
      <c r="C45" s="342"/>
      <c r="D45" s="342"/>
      <c r="E45" s="342"/>
      <c r="F45" s="428"/>
    </row>
    <row r="46" spans="1:6" ht="12.75">
      <c r="A46" s="342"/>
      <c r="B46" s="342"/>
      <c r="C46" s="342"/>
      <c r="D46" s="342"/>
      <c r="E46" s="342"/>
      <c r="F46" s="428"/>
    </row>
    <row r="47" spans="1:6" ht="12.75">
      <c r="A47" s="429" t="str">
        <f>DADOS!A3</f>
        <v>MUNICIPIO DE QUILOMBO</v>
      </c>
      <c r="B47" s="351"/>
      <c r="C47" s="351"/>
      <c r="D47" s="351"/>
      <c r="E47" s="351"/>
      <c r="F47" s="351"/>
    </row>
    <row r="48" spans="1:6" ht="12.75">
      <c r="A48" s="351" t="s">
        <v>48</v>
      </c>
      <c r="B48" s="351"/>
      <c r="C48" s="351"/>
      <c r="D48" s="351"/>
      <c r="E48" s="351"/>
      <c r="F48" s="351"/>
    </row>
    <row r="49" spans="1:6" ht="12.75">
      <c r="A49" s="351" t="s">
        <v>228</v>
      </c>
      <c r="B49" s="351"/>
      <c r="C49" s="351"/>
      <c r="D49" s="351"/>
      <c r="E49" s="351"/>
      <c r="F49" s="351"/>
    </row>
    <row r="50" spans="1:6" ht="12.75">
      <c r="A50" s="355" t="s">
        <v>243</v>
      </c>
      <c r="B50" s="355"/>
      <c r="C50" s="355"/>
      <c r="D50" s="355"/>
      <c r="E50" s="355"/>
      <c r="F50" s="355"/>
    </row>
    <row r="51" spans="1:6" ht="12.75">
      <c r="A51" s="351" t="str">
        <f>DADOS!A17</f>
        <v>Exercício de 2018</v>
      </c>
      <c r="B51" s="351"/>
      <c r="C51" s="351"/>
      <c r="D51" s="351"/>
      <c r="E51" s="351"/>
      <c r="F51" s="351"/>
    </row>
    <row r="52" spans="1:6" ht="12.75">
      <c r="A52" s="430"/>
      <c r="B52" s="430"/>
      <c r="C52" s="430"/>
      <c r="D52" s="430"/>
      <c r="E52" s="430"/>
      <c r="F52" s="430"/>
    </row>
    <row r="53" spans="1:8" s="40" customFormat="1" ht="15.75">
      <c r="A53" s="88" t="s">
        <v>158</v>
      </c>
      <c r="B53" s="89"/>
      <c r="C53" s="90"/>
      <c r="D53" s="90"/>
      <c r="E53" s="90"/>
      <c r="F53" s="103">
        <v>1</v>
      </c>
      <c r="G53" s="91"/>
      <c r="H53" s="92"/>
    </row>
    <row r="54" spans="1:8" s="67" customFormat="1" ht="33.75" customHeight="1">
      <c r="A54" s="361" t="s">
        <v>187</v>
      </c>
      <c r="B54" s="431" t="s">
        <v>188</v>
      </c>
      <c r="C54" s="66" t="s">
        <v>189</v>
      </c>
      <c r="D54" s="65" t="s">
        <v>190</v>
      </c>
      <c r="E54" s="65" t="s">
        <v>191</v>
      </c>
      <c r="F54" s="433" t="s">
        <v>244</v>
      </c>
      <c r="G54" s="42"/>
      <c r="H54" s="42"/>
    </row>
    <row r="55" spans="1:6" s="67" customFormat="1" ht="25.5" customHeight="1">
      <c r="A55" s="363"/>
      <c r="B55" s="432"/>
      <c r="C55" s="74" t="s">
        <v>192</v>
      </c>
      <c r="D55" s="65" t="s">
        <v>193</v>
      </c>
      <c r="E55" s="65" t="s">
        <v>194</v>
      </c>
      <c r="F55" s="434"/>
    </row>
    <row r="56" spans="1:6" ht="60" customHeight="1">
      <c r="A56" s="83"/>
      <c r="B56" s="83"/>
      <c r="C56" s="83"/>
      <c r="D56" s="87"/>
      <c r="E56" s="87"/>
      <c r="F56" s="87"/>
    </row>
    <row r="57" spans="1:6" ht="12.75">
      <c r="A57" s="357"/>
      <c r="B57" s="357"/>
      <c r="C57" s="357"/>
      <c r="D57" s="357"/>
      <c r="E57" s="357"/>
      <c r="F57" s="357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27:C27"/>
    <mergeCell ref="A29:C29"/>
    <mergeCell ref="A30:C30"/>
    <mergeCell ref="A31:C31"/>
    <mergeCell ref="A34:C34"/>
    <mergeCell ref="A35:C35"/>
    <mergeCell ref="A32:C32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zoomScalePageLayoutView="0" workbookViewId="0" topLeftCell="A1">
      <selection activeCell="A21" sqref="A21:F21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2"/>
    </row>
    <row r="2" spans="1:6" ht="12.75">
      <c r="A2" s="353" t="s">
        <v>48</v>
      </c>
      <c r="B2" s="351"/>
      <c r="C2" s="351"/>
      <c r="D2" s="351"/>
      <c r="E2" s="351"/>
      <c r="F2" s="352"/>
    </row>
    <row r="3" spans="1:6" ht="12.75">
      <c r="A3" s="353" t="s">
        <v>333</v>
      </c>
      <c r="B3" s="351"/>
      <c r="C3" s="351"/>
      <c r="D3" s="351"/>
      <c r="E3" s="351"/>
      <c r="F3" s="352"/>
    </row>
    <row r="4" spans="1:6" ht="12.75">
      <c r="A4" s="354" t="s">
        <v>245</v>
      </c>
      <c r="B4" s="355"/>
      <c r="C4" s="355"/>
      <c r="D4" s="355"/>
      <c r="E4" s="355"/>
      <c r="F4" s="356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2"/>
    </row>
    <row r="6" spans="1:6" ht="12.75">
      <c r="A6" s="353"/>
      <c r="B6" s="351"/>
      <c r="C6" s="351"/>
      <c r="D6" s="351"/>
      <c r="E6" s="351"/>
      <c r="F6" s="352"/>
    </row>
    <row r="7" spans="1:6" ht="15.75">
      <c r="A7" s="93" t="s">
        <v>195</v>
      </c>
      <c r="B7" s="439"/>
      <c r="C7" s="439"/>
      <c r="D7" s="439"/>
      <c r="E7" s="439"/>
      <c r="F7" s="104">
        <v>1</v>
      </c>
    </row>
    <row r="8" spans="1:6" s="67" customFormat="1" ht="12.75">
      <c r="A8" s="361" t="s">
        <v>196</v>
      </c>
      <c r="B8" s="433" t="s">
        <v>197</v>
      </c>
      <c r="C8" s="440"/>
      <c r="D8" s="440"/>
      <c r="E8" s="361"/>
      <c r="F8" s="433" t="s">
        <v>346</v>
      </c>
    </row>
    <row r="9" spans="1:6" s="67" customFormat="1" ht="12.75">
      <c r="A9" s="362"/>
      <c r="B9" s="434"/>
      <c r="C9" s="441"/>
      <c r="D9" s="441"/>
      <c r="E9" s="363"/>
      <c r="F9" s="442"/>
    </row>
    <row r="10" spans="1:6" ht="15.75" customHeight="1">
      <c r="A10" s="363"/>
      <c r="B10" s="94" t="s">
        <v>198</v>
      </c>
      <c r="C10" s="95">
        <f>DADOS!E32</f>
        <v>2018</v>
      </c>
      <c r="D10" s="95">
        <f>C10+1</f>
        <v>2019</v>
      </c>
      <c r="E10" s="95">
        <f>D10+1</f>
        <v>2020</v>
      </c>
      <c r="F10" s="434"/>
    </row>
    <row r="11" spans="1:6" ht="15.75" customHeight="1">
      <c r="A11" s="332" t="s">
        <v>334</v>
      </c>
      <c r="B11" s="333" t="s">
        <v>335</v>
      </c>
      <c r="C11" s="329">
        <v>40000</v>
      </c>
      <c r="D11" s="329">
        <v>60000</v>
      </c>
      <c r="E11" s="329">
        <v>61000</v>
      </c>
      <c r="F11" s="326"/>
    </row>
    <row r="12" spans="1:6" ht="15.75" customHeight="1">
      <c r="A12" s="332" t="s">
        <v>336</v>
      </c>
      <c r="B12" s="333" t="s">
        <v>335</v>
      </c>
      <c r="C12" s="329">
        <v>64500</v>
      </c>
      <c r="D12" s="329">
        <v>71250</v>
      </c>
      <c r="E12" s="329">
        <v>78750</v>
      </c>
      <c r="F12" s="326"/>
    </row>
    <row r="13" spans="1:6" ht="15.75" customHeight="1">
      <c r="A13" s="332" t="s">
        <v>336</v>
      </c>
      <c r="B13" s="333" t="s">
        <v>337</v>
      </c>
      <c r="C13" s="329">
        <v>2800</v>
      </c>
      <c r="D13" s="329">
        <v>3000</v>
      </c>
      <c r="E13" s="329">
        <v>3200</v>
      </c>
      <c r="F13" s="326"/>
    </row>
    <row r="14" spans="1:6" ht="15.75" customHeight="1">
      <c r="A14" s="332" t="s">
        <v>336</v>
      </c>
      <c r="B14" s="333" t="s">
        <v>338</v>
      </c>
      <c r="C14" s="329">
        <v>1600</v>
      </c>
      <c r="D14" s="329">
        <v>1800</v>
      </c>
      <c r="E14" s="329">
        <v>2000</v>
      </c>
      <c r="F14" s="326"/>
    </row>
    <row r="15" spans="1:6" ht="15.75" customHeight="1">
      <c r="A15" s="332" t="s">
        <v>336</v>
      </c>
      <c r="B15" s="333" t="s">
        <v>339</v>
      </c>
      <c r="C15" s="329">
        <v>28750</v>
      </c>
      <c r="D15" s="329">
        <v>31500</v>
      </c>
      <c r="E15" s="329">
        <v>35000</v>
      </c>
      <c r="F15" s="326"/>
    </row>
    <row r="16" spans="1:6" ht="12.75">
      <c r="A16" s="333" t="s">
        <v>340</v>
      </c>
      <c r="B16" s="334" t="s">
        <v>341</v>
      </c>
      <c r="C16" s="330">
        <v>25000</v>
      </c>
      <c r="D16" s="330">
        <v>27500</v>
      </c>
      <c r="E16" s="330">
        <v>30000</v>
      </c>
      <c r="F16" s="435"/>
    </row>
    <row r="17" spans="1:6" ht="12.75">
      <c r="A17" s="333" t="s">
        <v>336</v>
      </c>
      <c r="B17" s="334" t="s">
        <v>342</v>
      </c>
      <c r="C17" s="330">
        <v>1250</v>
      </c>
      <c r="D17" s="330">
        <v>1500</v>
      </c>
      <c r="E17" s="330">
        <v>1750</v>
      </c>
      <c r="F17" s="436"/>
    </row>
    <row r="18" spans="1:6" ht="12.75">
      <c r="A18" s="333" t="s">
        <v>343</v>
      </c>
      <c r="B18" s="334" t="s">
        <v>344</v>
      </c>
      <c r="C18" s="330">
        <v>20000</v>
      </c>
      <c r="D18" s="330">
        <v>20000</v>
      </c>
      <c r="E18" s="330">
        <v>20000</v>
      </c>
      <c r="F18" s="327"/>
    </row>
    <row r="19" spans="1:6" ht="25.5">
      <c r="A19" s="333" t="s">
        <v>336</v>
      </c>
      <c r="B19" s="335" t="s">
        <v>345</v>
      </c>
      <c r="C19" s="331">
        <v>4000</v>
      </c>
      <c r="D19" s="331">
        <v>5000</v>
      </c>
      <c r="E19" s="331">
        <v>6000</v>
      </c>
      <c r="F19" s="328"/>
    </row>
    <row r="20" spans="1:6" ht="15.75">
      <c r="A20" s="437" t="s">
        <v>142</v>
      </c>
      <c r="B20" s="438"/>
      <c r="C20" s="264">
        <f>SUM(C11:C19)</f>
        <v>187900</v>
      </c>
      <c r="D20" s="264">
        <f>SUM(D11:D19)</f>
        <v>221550</v>
      </c>
      <c r="E20" s="264">
        <f>SUM(E11:E19)</f>
        <v>237700</v>
      </c>
      <c r="F20" s="264">
        <f>SUM(F16:F19)</f>
        <v>0</v>
      </c>
    </row>
    <row r="21" spans="1:6" ht="12.75">
      <c r="A21" s="357" t="s">
        <v>347</v>
      </c>
      <c r="B21" s="357"/>
      <c r="C21" s="357"/>
      <c r="D21" s="357"/>
      <c r="E21" s="357"/>
      <c r="F21" s="357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2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0" t="str">
        <f>DADOS!A3</f>
        <v>MUNICIPIO DE QUILOMBO</v>
      </c>
      <c r="B1" s="352"/>
    </row>
    <row r="2" spans="1:2" ht="12.75">
      <c r="A2" s="353" t="s">
        <v>48</v>
      </c>
      <c r="B2" s="352"/>
    </row>
    <row r="3" spans="1:2" ht="12.75">
      <c r="A3" s="353" t="s">
        <v>228</v>
      </c>
      <c r="B3" s="352"/>
    </row>
    <row r="4" spans="1:2" ht="12.75">
      <c r="A4" s="354" t="s">
        <v>289</v>
      </c>
      <c r="B4" s="356"/>
    </row>
    <row r="5" spans="1:2" ht="12.75">
      <c r="A5" s="353" t="str">
        <f>DADOS!A17</f>
        <v>Exercício de 2018</v>
      </c>
      <c r="B5" s="352"/>
    </row>
    <row r="6" spans="1:2" ht="12.75">
      <c r="A6" s="443" t="s">
        <v>317</v>
      </c>
      <c r="B6" s="443"/>
    </row>
    <row r="7" spans="1:2" ht="12.75">
      <c r="A7" s="64" t="s">
        <v>195</v>
      </c>
      <c r="B7" s="101" t="s">
        <v>303</v>
      </c>
    </row>
    <row r="8" spans="1:2" s="67" customFormat="1" ht="25.5" customHeight="1">
      <c r="A8" s="74" t="s">
        <v>199</v>
      </c>
      <c r="B8" s="81">
        <f>DADOS!E32</f>
        <v>2018</v>
      </c>
    </row>
    <row r="9" spans="1:2" ht="15.75">
      <c r="A9" s="271" t="s">
        <v>200</v>
      </c>
      <c r="B9" s="274">
        <f>B10+B11</f>
        <v>3037726.5102343955</v>
      </c>
    </row>
    <row r="10" spans="1:2" ht="15.75">
      <c r="A10" s="85" t="s">
        <v>277</v>
      </c>
      <c r="B10" s="273">
        <f>((Projeções!F10)*(1+Parâmetros!E15)*(1+Parâmetros!E18))-Projeções!F10</f>
        <v>-37743.0990156061</v>
      </c>
    </row>
    <row r="11" spans="1:2" ht="15.75">
      <c r="A11" s="85" t="s">
        <v>278</v>
      </c>
      <c r="B11" s="273">
        <f>((Projeções!F18)*(1+Parâmetros!E15)*(1+Parâmetros!E19))-Projeções!F18</f>
        <v>3075469.6092500016</v>
      </c>
    </row>
    <row r="12" spans="1:2" ht="15.75">
      <c r="A12" s="86" t="s">
        <v>298</v>
      </c>
      <c r="B12" s="273">
        <f>((Projeções!F26)*(1+Parâmetros!E15))-Projeções!F26</f>
        <v>-183671.28000000026</v>
      </c>
    </row>
    <row r="13" spans="1:2" ht="15.75">
      <c r="A13" s="272" t="s">
        <v>201</v>
      </c>
      <c r="B13" s="275">
        <f>B9+B12</f>
        <v>2854055.2302343952</v>
      </c>
    </row>
    <row r="14" spans="1:2" ht="15.75">
      <c r="A14" s="86" t="s">
        <v>202</v>
      </c>
      <c r="B14" s="276">
        <v>0</v>
      </c>
    </row>
    <row r="15" spans="1:2" ht="15.75">
      <c r="A15" s="86" t="s">
        <v>203</v>
      </c>
      <c r="B15" s="275">
        <f>B13+B14</f>
        <v>2854055.2302343952</v>
      </c>
    </row>
    <row r="16" spans="1:2" ht="15.75">
      <c r="A16" s="85" t="s">
        <v>204</v>
      </c>
      <c r="B16" s="273"/>
    </row>
    <row r="17" spans="1:2" ht="15.75">
      <c r="A17" s="272" t="s">
        <v>205</v>
      </c>
      <c r="B17" s="275">
        <f>B18+B19</f>
        <v>2198830.922232734</v>
      </c>
    </row>
    <row r="18" spans="1:2" ht="15.75">
      <c r="A18" s="86" t="s">
        <v>279</v>
      </c>
      <c r="B18" s="273">
        <f>((Projeções!F34)*(1+Parâmetros!E16)*(1+Parâmetros!E20))-Projeções!F34</f>
        <v>764969.878757732</v>
      </c>
    </row>
    <row r="19" spans="1:2" ht="15.75">
      <c r="A19" s="86" t="s">
        <v>280</v>
      </c>
      <c r="B19" s="273">
        <f>((Projeções!F36)*(1+Parâmetros!E15)*(1+Parâmetros!E17))-Projeções!F36</f>
        <v>1433861.043475002</v>
      </c>
    </row>
    <row r="20" spans="1:2" ht="15.75">
      <c r="A20" s="272" t="s">
        <v>206</v>
      </c>
      <c r="B20" s="277">
        <f>IF(B15-B16-B17&lt;0,"SEM MARGEM",B15-B16-B17)</f>
        <v>655224.3080016612</v>
      </c>
    </row>
    <row r="21" spans="1:2" ht="12.75">
      <c r="A21" s="357"/>
      <c r="B21" s="357"/>
    </row>
    <row r="22" ht="12.75">
      <c r="A22" s="43" t="s">
        <v>281</v>
      </c>
    </row>
    <row r="23" spans="1:2" ht="12.75">
      <c r="A23" s="278" t="s">
        <v>282</v>
      </c>
      <c r="B23" s="278"/>
    </row>
    <row r="24" ht="12.75">
      <c r="A24" s="278" t="s">
        <v>283</v>
      </c>
    </row>
    <row r="25" ht="12.75">
      <c r="A25" s="278" t="s">
        <v>284</v>
      </c>
    </row>
    <row r="26" ht="12.75">
      <c r="A26" s="278" t="s">
        <v>327</v>
      </c>
    </row>
    <row r="27" ht="12.75">
      <c r="A27" s="278" t="s">
        <v>328</v>
      </c>
    </row>
    <row r="28" ht="12.75">
      <c r="A28" s="278" t="s">
        <v>329</v>
      </c>
    </row>
    <row r="29" ht="12.75">
      <c r="A29" t="s">
        <v>285</v>
      </c>
    </row>
    <row r="30" ht="12.75">
      <c r="A30" t="s">
        <v>286</v>
      </c>
    </row>
    <row r="31" ht="12.75">
      <c r="A31" t="s">
        <v>287</v>
      </c>
    </row>
    <row r="32" ht="12.75">
      <c r="A32" t="s">
        <v>288</v>
      </c>
    </row>
    <row r="33" ht="12.75">
      <c r="A33" t="s">
        <v>290</v>
      </c>
    </row>
    <row r="34" ht="12.75">
      <c r="A34" t="s">
        <v>291</v>
      </c>
    </row>
    <row r="35" ht="12.75">
      <c r="A35" t="s">
        <v>292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zoomScalePageLayoutView="0" workbookViewId="0" topLeftCell="A1">
      <selection activeCell="C26" sqref="C26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4" t="s">
        <v>214</v>
      </c>
      <c r="B1" s="444"/>
      <c r="C1" s="444"/>
      <c r="D1" s="444"/>
    </row>
    <row r="2" spans="1:4" ht="12.75">
      <c r="A2" s="444"/>
      <c r="B2" s="444"/>
      <c r="C2" s="444"/>
      <c r="D2" s="444"/>
    </row>
    <row r="3" spans="1:4" ht="12.75">
      <c r="A3" s="445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209</v>
      </c>
      <c r="B5" s="446"/>
      <c r="C5" s="446"/>
      <c r="D5" s="446"/>
    </row>
    <row r="6" spans="1:4" ht="21" customHeight="1">
      <c r="A6" s="447" t="s">
        <v>207</v>
      </c>
      <c r="B6" s="447"/>
      <c r="C6" s="447"/>
      <c r="D6" s="447"/>
    </row>
    <row r="7" spans="1:4" ht="12.75">
      <c r="A7" s="446" t="str">
        <f>DADOS!A17</f>
        <v>Exercício de 2018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9" t="s">
        <v>208</v>
      </c>
      <c r="B9" s="449"/>
      <c r="C9" s="450">
        <v>1</v>
      </c>
      <c r="D9" s="451"/>
    </row>
    <row r="10" spans="1:4" ht="12.75">
      <c r="A10" s="452" t="s">
        <v>209</v>
      </c>
      <c r="B10" s="453"/>
      <c r="C10" s="454" t="s">
        <v>210</v>
      </c>
      <c r="D10" s="452"/>
    </row>
    <row r="11" spans="1:4" ht="12.75">
      <c r="A11" s="82" t="s">
        <v>211</v>
      </c>
      <c r="B11" s="82" t="s">
        <v>106</v>
      </c>
      <c r="C11" s="82" t="s">
        <v>211</v>
      </c>
      <c r="D11" s="96" t="s">
        <v>106</v>
      </c>
    </row>
    <row r="12" spans="1:4" ht="12.75">
      <c r="A12" s="97" t="s">
        <v>323</v>
      </c>
      <c r="B12" s="139"/>
      <c r="C12" s="97" t="s">
        <v>325</v>
      </c>
      <c r="D12" s="141"/>
    </row>
    <row r="13" spans="1:4" ht="12.75">
      <c r="A13" s="97" t="s">
        <v>331</v>
      </c>
      <c r="B13" s="139"/>
      <c r="C13" s="97" t="s">
        <v>324</v>
      </c>
      <c r="D13" s="141">
        <v>300000</v>
      </c>
    </row>
    <row r="14" spans="1:4" ht="12.75">
      <c r="A14" s="97" t="s">
        <v>332</v>
      </c>
      <c r="B14" s="139">
        <v>300000</v>
      </c>
      <c r="C14" s="97"/>
      <c r="D14" s="141"/>
    </row>
    <row r="15" spans="1:4" ht="12.75">
      <c r="A15" s="97"/>
      <c r="B15" s="139"/>
      <c r="C15" s="97"/>
      <c r="D15" s="141"/>
    </row>
    <row r="16" spans="1:4" ht="12.75">
      <c r="A16" s="99"/>
      <c r="B16" s="140"/>
      <c r="C16" s="99"/>
      <c r="D16" s="142"/>
    </row>
    <row r="17" spans="1:4" ht="12.75">
      <c r="A17" s="100" t="s">
        <v>142</v>
      </c>
      <c r="B17" s="265">
        <f>SUM(B12:B16)</f>
        <v>300000</v>
      </c>
      <c r="C17" s="100" t="s">
        <v>142</v>
      </c>
      <c r="D17" s="265">
        <f>SUM(D12:D16)</f>
        <v>300000</v>
      </c>
    </row>
    <row r="18" spans="1:4" ht="12.75">
      <c r="A18" s="289"/>
      <c r="B18" s="98"/>
      <c r="C18" s="98"/>
      <c r="D18" s="98"/>
    </row>
    <row r="21" ht="12.75">
      <c r="A21" s="320" t="s">
        <v>317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1">
      <selection activeCell="E9" sqref="E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16">
        <f>DADOS!$E$32-4</f>
        <v>2014</v>
      </c>
      <c r="D1" s="316">
        <f>DADOS!$E$32-3</f>
        <v>2015</v>
      </c>
      <c r="E1" s="316">
        <f>DADOS!$E$32-2</f>
        <v>2016</v>
      </c>
      <c r="F1" s="316">
        <f>DADOS!$E$32-1</f>
        <v>2017</v>
      </c>
    </row>
    <row r="2" spans="3:6" s="153" customFormat="1" ht="18" customHeight="1">
      <c r="C2" s="154" t="s">
        <v>251</v>
      </c>
      <c r="D2" s="154" t="s">
        <v>251</v>
      </c>
      <c r="E2" s="154" t="s">
        <v>251</v>
      </c>
      <c r="F2" s="154" t="s">
        <v>252</v>
      </c>
    </row>
    <row r="3" spans="1:6" s="43" customFormat="1" ht="12.75">
      <c r="A3" s="158" t="s">
        <v>57</v>
      </c>
      <c r="B3" s="159" t="s">
        <v>2</v>
      </c>
      <c r="C3" s="171">
        <f>C4+C5+C6+C9+C10+C11+C12+C13</f>
        <v>31728524.159999996</v>
      </c>
      <c r="D3" s="171">
        <f>D4+D5+D6+D9+D10+D11+D12+D13</f>
        <v>30624705.759999998</v>
      </c>
      <c r="E3" s="171">
        <f>E4+E5+E6+E9+E10+E11+E12+E13</f>
        <v>31048795.56</v>
      </c>
      <c r="F3" s="171">
        <f>F4+F5+F6+F9+F10+F11+F12+F13</f>
        <v>37137600</v>
      </c>
    </row>
    <row r="4" spans="1:6" s="43" customFormat="1" ht="12.75">
      <c r="A4" s="162" t="s">
        <v>58</v>
      </c>
      <c r="B4" s="163" t="s">
        <v>59</v>
      </c>
      <c r="C4" s="173">
        <v>2255109.93</v>
      </c>
      <c r="D4" s="173">
        <v>2391392.73</v>
      </c>
      <c r="E4" s="173">
        <v>2625233.82</v>
      </c>
      <c r="F4" s="173">
        <v>2532807</v>
      </c>
    </row>
    <row r="5" spans="1:6" s="43" customFormat="1" ht="12.75">
      <c r="A5" s="162" t="s">
        <v>60</v>
      </c>
      <c r="B5" s="163" t="s">
        <v>61</v>
      </c>
      <c r="C5" s="173">
        <v>134108.89</v>
      </c>
      <c r="D5" s="173">
        <v>183301.11</v>
      </c>
      <c r="E5" s="173">
        <v>198837.73</v>
      </c>
      <c r="F5" s="173">
        <v>180000</v>
      </c>
    </row>
    <row r="6" spans="1:6" s="43" customFormat="1" ht="12.75">
      <c r="A6" s="162" t="s">
        <v>62</v>
      </c>
      <c r="B6" s="163" t="s">
        <v>3</v>
      </c>
      <c r="C6" s="171">
        <f>C7+C8</f>
        <v>355706.39</v>
      </c>
      <c r="D6" s="171">
        <f>D7+D8</f>
        <v>422635.71</v>
      </c>
      <c r="E6" s="171">
        <f>E7+E8</f>
        <v>332240.42</v>
      </c>
      <c r="F6" s="171">
        <f>F7+F8</f>
        <v>372950</v>
      </c>
    </row>
    <row r="7" spans="1:6" ht="12.75">
      <c r="A7" s="162" t="s">
        <v>63</v>
      </c>
      <c r="B7" s="163" t="s">
        <v>246</v>
      </c>
      <c r="C7" s="173">
        <v>349526.96</v>
      </c>
      <c r="D7" s="173">
        <v>413425.78</v>
      </c>
      <c r="E7" s="173">
        <v>316329.6</v>
      </c>
      <c r="F7" s="173">
        <v>283950</v>
      </c>
    </row>
    <row r="8" spans="1:6" ht="12.75">
      <c r="A8" s="162" t="s">
        <v>64</v>
      </c>
      <c r="B8" s="163" t="s">
        <v>65</v>
      </c>
      <c r="C8" s="173">
        <v>6179.43</v>
      </c>
      <c r="D8" s="173">
        <v>9209.93</v>
      </c>
      <c r="E8" s="173">
        <v>15910.82</v>
      </c>
      <c r="F8" s="173">
        <v>89000</v>
      </c>
    </row>
    <row r="9" spans="1:6" ht="12.75">
      <c r="A9" s="162" t="s">
        <v>66</v>
      </c>
      <c r="B9" s="163" t="s">
        <v>67</v>
      </c>
      <c r="C9" s="173">
        <v>0</v>
      </c>
      <c r="D9" s="173">
        <v>0</v>
      </c>
      <c r="E9" s="173">
        <v>0</v>
      </c>
      <c r="F9" s="173">
        <v>20000</v>
      </c>
    </row>
    <row r="10" spans="1:6" ht="12.75">
      <c r="A10" s="162" t="s">
        <v>68</v>
      </c>
      <c r="B10" s="163" t="s">
        <v>4</v>
      </c>
      <c r="C10" s="173">
        <v>0</v>
      </c>
      <c r="D10" s="173">
        <v>0</v>
      </c>
      <c r="E10" s="173">
        <v>0</v>
      </c>
      <c r="F10" s="173">
        <v>0</v>
      </c>
    </row>
    <row r="11" spans="1:6" ht="12.75">
      <c r="A11" s="162" t="s">
        <v>69</v>
      </c>
      <c r="B11" s="163" t="s">
        <v>70</v>
      </c>
      <c r="C11" s="173">
        <v>14641.92</v>
      </c>
      <c r="D11" s="173">
        <v>5260.54</v>
      </c>
      <c r="E11" s="173">
        <v>10007.64</v>
      </c>
      <c r="F11" s="173">
        <v>224500</v>
      </c>
    </row>
    <row r="12" spans="1:6" s="43" customFormat="1" ht="12.75">
      <c r="A12" s="162" t="s">
        <v>71</v>
      </c>
      <c r="B12" s="163" t="s">
        <v>72</v>
      </c>
      <c r="C12" s="173">
        <v>26663170.56</v>
      </c>
      <c r="D12" s="173">
        <v>27281196.18</v>
      </c>
      <c r="E12" s="173">
        <v>27543385.63</v>
      </c>
      <c r="F12" s="173">
        <v>33314950</v>
      </c>
    </row>
    <row r="13" spans="1:6" s="43" customFormat="1" ht="12.75">
      <c r="A13" s="162" t="s">
        <v>73</v>
      </c>
      <c r="B13" s="163" t="s">
        <v>5</v>
      </c>
      <c r="C13" s="173">
        <v>2305786.47</v>
      </c>
      <c r="D13" s="173">
        <v>340919.49</v>
      </c>
      <c r="E13" s="173">
        <v>339090.32</v>
      </c>
      <c r="F13" s="173">
        <v>492393</v>
      </c>
    </row>
    <row r="14" spans="1:6" s="43" customFormat="1" ht="12.75">
      <c r="A14" s="160" t="s">
        <v>74</v>
      </c>
      <c r="B14" s="161" t="s">
        <v>75</v>
      </c>
      <c r="C14" s="171">
        <f>C15+C16+C17+C18+C19</f>
        <v>1934747.8800000001</v>
      </c>
      <c r="D14" s="171">
        <f>D15+D16+D17+D18+D19</f>
        <v>3889235.05</v>
      </c>
      <c r="E14" s="171">
        <f>E15+E16+E17+E18+E19</f>
        <v>2391857.5700000003</v>
      </c>
      <c r="F14" s="171">
        <f>F15+F16+F17+F18+F19</f>
        <v>125000</v>
      </c>
    </row>
    <row r="15" spans="1:6" s="43" customFormat="1" ht="12.75">
      <c r="A15" s="162" t="s">
        <v>76</v>
      </c>
      <c r="B15" s="163" t="s">
        <v>77</v>
      </c>
      <c r="C15" s="173">
        <v>0</v>
      </c>
      <c r="D15" s="173">
        <v>0</v>
      </c>
      <c r="E15" s="173">
        <v>0</v>
      </c>
      <c r="F15" s="173">
        <v>0</v>
      </c>
    </row>
    <row r="16" spans="1:6" s="43" customFormat="1" ht="12.75">
      <c r="A16" s="162" t="s">
        <v>78</v>
      </c>
      <c r="B16" s="163" t="s">
        <v>79</v>
      </c>
      <c r="C16" s="173">
        <v>0</v>
      </c>
      <c r="D16" s="173">
        <v>145463</v>
      </c>
      <c r="E16" s="173">
        <v>125300</v>
      </c>
      <c r="F16" s="173">
        <v>5000</v>
      </c>
    </row>
    <row r="17" spans="1:6" ht="12.75">
      <c r="A17" s="162" t="s">
        <v>80</v>
      </c>
      <c r="B17" s="163" t="s">
        <v>81</v>
      </c>
      <c r="C17" s="173">
        <v>67074.36</v>
      </c>
      <c r="D17" s="173">
        <v>84617.59</v>
      </c>
      <c r="E17" s="173">
        <v>119448.58</v>
      </c>
      <c r="F17" s="173">
        <v>120000</v>
      </c>
    </row>
    <row r="18" spans="1:6" s="43" customFormat="1" ht="12.75">
      <c r="A18" s="162" t="s">
        <v>82</v>
      </c>
      <c r="B18" s="163" t="s">
        <v>83</v>
      </c>
      <c r="C18" s="173">
        <v>1867673.52</v>
      </c>
      <c r="D18" s="173">
        <v>3659154.46</v>
      </c>
      <c r="E18" s="173">
        <v>2147108.99</v>
      </c>
      <c r="F18" s="173">
        <v>0</v>
      </c>
    </row>
    <row r="19" spans="1:6" ht="12.75">
      <c r="A19" s="162" t="s">
        <v>84</v>
      </c>
      <c r="B19" s="163" t="s">
        <v>6</v>
      </c>
      <c r="C19" s="173">
        <v>0</v>
      </c>
      <c r="D19" s="173">
        <v>0</v>
      </c>
      <c r="E19" s="173">
        <v>0</v>
      </c>
      <c r="F19" s="173">
        <v>0</v>
      </c>
    </row>
    <row r="20" spans="1:6" ht="12.75">
      <c r="A20" s="162" t="s">
        <v>247</v>
      </c>
      <c r="B20" s="161" t="s">
        <v>259</v>
      </c>
      <c r="C20" s="173">
        <v>-3353610.93</v>
      </c>
      <c r="D20" s="173">
        <v>-3537182.71</v>
      </c>
      <c r="E20" s="173">
        <v>-3436752.75</v>
      </c>
      <c r="F20" s="173">
        <v>-4557600</v>
      </c>
    </row>
    <row r="21" spans="1:6" ht="12.75">
      <c r="A21" s="162"/>
      <c r="B21" s="163"/>
      <c r="C21" s="173">
        <v>0</v>
      </c>
      <c r="D21" s="173">
        <v>0</v>
      </c>
      <c r="E21" s="173">
        <v>0</v>
      </c>
      <c r="F21" s="173">
        <v>0</v>
      </c>
    </row>
    <row r="22" spans="1:6" s="43" customFormat="1" ht="12.75">
      <c r="A22" s="165"/>
      <c r="B22" s="164" t="s">
        <v>85</v>
      </c>
      <c r="C22" s="171">
        <f>C3+C14+C20</f>
        <v>30309661.11</v>
      </c>
      <c r="D22" s="171">
        <f>D3+D14+D20</f>
        <v>30976758.099999994</v>
      </c>
      <c r="E22" s="171">
        <f>E3+E14+E20</f>
        <v>30003900.38</v>
      </c>
      <c r="F22" s="171">
        <f>F3+F14+F20</f>
        <v>32705000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2014</v>
      </c>
      <c r="D24" s="50">
        <f>D1</f>
        <v>2015</v>
      </c>
      <c r="E24" s="50">
        <f>E1</f>
        <v>2016</v>
      </c>
      <c r="F24" s="50">
        <f>F1</f>
        <v>2017</v>
      </c>
    </row>
    <row r="25" spans="3:6" s="153" customFormat="1" ht="20.25" customHeight="1">
      <c r="C25" s="154" t="s">
        <v>253</v>
      </c>
      <c r="D25" s="154" t="s">
        <v>253</v>
      </c>
      <c r="E25" s="154" t="s">
        <v>253</v>
      </c>
      <c r="F25" s="154" t="s">
        <v>252</v>
      </c>
    </row>
    <row r="26" spans="1:6" s="43" customFormat="1" ht="12.75">
      <c r="A26" s="155" t="s">
        <v>86</v>
      </c>
      <c r="B26" s="168" t="s">
        <v>7</v>
      </c>
      <c r="C26" s="171">
        <f>C27+C28+C29</f>
        <v>25794235.810000002</v>
      </c>
      <c r="D26" s="171">
        <f>D27+D28+D29</f>
        <v>26831720.060000002</v>
      </c>
      <c r="E26" s="171">
        <f>E27+E28+E29</f>
        <v>28347407.67</v>
      </c>
      <c r="F26" s="171">
        <f>F27+F28+F29</f>
        <v>31227328</v>
      </c>
    </row>
    <row r="27" spans="1:6" s="43" customFormat="1" ht="12.75">
      <c r="A27" s="156" t="s">
        <v>87</v>
      </c>
      <c r="B27" s="166" t="s">
        <v>88</v>
      </c>
      <c r="C27" s="173">
        <v>12605726.06</v>
      </c>
      <c r="D27" s="173">
        <v>13900026.94</v>
      </c>
      <c r="E27" s="173">
        <v>14724430.84</v>
      </c>
      <c r="F27" s="173">
        <v>15675063</v>
      </c>
    </row>
    <row r="28" spans="1:6" ht="12.75">
      <c r="A28" s="157" t="s">
        <v>89</v>
      </c>
      <c r="B28" s="166" t="s">
        <v>258</v>
      </c>
      <c r="C28" s="173">
        <v>72257.05</v>
      </c>
      <c r="D28" s="173">
        <v>46955.32</v>
      </c>
      <c r="E28" s="173">
        <v>20610.19</v>
      </c>
      <c r="F28" s="173">
        <v>20000</v>
      </c>
    </row>
    <row r="29" spans="1:6" s="43" customFormat="1" ht="12.75">
      <c r="A29" s="156" t="s">
        <v>91</v>
      </c>
      <c r="B29" s="166" t="s">
        <v>92</v>
      </c>
      <c r="C29" s="173">
        <v>13116252.7</v>
      </c>
      <c r="D29" s="173">
        <v>12884737.8</v>
      </c>
      <c r="E29" s="173">
        <v>13602366.64</v>
      </c>
      <c r="F29" s="173">
        <v>15532265</v>
      </c>
    </row>
    <row r="30" spans="1:6" s="43" customFormat="1" ht="12.75">
      <c r="A30" s="156" t="s">
        <v>93</v>
      </c>
      <c r="B30" s="169" t="s">
        <v>8</v>
      </c>
      <c r="C30" s="171">
        <f>C31+C32+C35</f>
        <v>3039704.35</v>
      </c>
      <c r="D30" s="171">
        <f>D31+D32+D35</f>
        <v>5067271.45</v>
      </c>
      <c r="E30" s="171">
        <f>E31+E32+E35</f>
        <v>2918601.64</v>
      </c>
      <c r="F30" s="171">
        <f>F31+F32+F35</f>
        <v>1137672</v>
      </c>
    </row>
    <row r="31" spans="1:6" s="43" customFormat="1" ht="12.75">
      <c r="A31" s="156" t="s">
        <v>94</v>
      </c>
      <c r="B31" s="166" t="s">
        <v>9</v>
      </c>
      <c r="C31" s="173">
        <v>2698450.48</v>
      </c>
      <c r="D31" s="173">
        <v>4744236.48</v>
      </c>
      <c r="E31" s="173">
        <v>2609161.66</v>
      </c>
      <c r="F31" s="173">
        <v>1057672</v>
      </c>
    </row>
    <row r="32" spans="1:6" s="43" customFormat="1" ht="12.75">
      <c r="A32" s="156" t="s">
        <v>95</v>
      </c>
      <c r="B32" s="166" t="s">
        <v>10</v>
      </c>
      <c r="C32" s="171">
        <f>C33+C34</f>
        <v>0</v>
      </c>
      <c r="D32" s="171">
        <f>D33+D34</f>
        <v>0</v>
      </c>
      <c r="E32" s="171">
        <f>E33+E34</f>
        <v>0</v>
      </c>
      <c r="F32" s="171">
        <f>F33+F34</f>
        <v>15000</v>
      </c>
    </row>
    <row r="33" spans="1:6" ht="12.75">
      <c r="A33" s="157" t="s">
        <v>96</v>
      </c>
      <c r="B33" s="166" t="s">
        <v>97</v>
      </c>
      <c r="C33" s="173">
        <v>0</v>
      </c>
      <c r="D33" s="173">
        <v>0</v>
      </c>
      <c r="E33" s="173">
        <v>0</v>
      </c>
      <c r="F33" s="173">
        <v>0</v>
      </c>
    </row>
    <row r="34" spans="1:6" ht="12.75">
      <c r="A34" s="157" t="s">
        <v>249</v>
      </c>
      <c r="B34" s="166" t="s">
        <v>250</v>
      </c>
      <c r="C34" s="173">
        <v>0</v>
      </c>
      <c r="D34" s="173">
        <v>0</v>
      </c>
      <c r="E34" s="173">
        <v>0</v>
      </c>
      <c r="F34" s="173">
        <v>15000</v>
      </c>
    </row>
    <row r="35" spans="1:6" s="43" customFormat="1" ht="12.75">
      <c r="A35" s="156" t="s">
        <v>98</v>
      </c>
      <c r="B35" s="166" t="s">
        <v>99</v>
      </c>
      <c r="C35" s="173">
        <v>341253.87</v>
      </c>
      <c r="D35" s="173">
        <v>323034.97</v>
      </c>
      <c r="E35" s="173">
        <v>309439.98</v>
      </c>
      <c r="F35" s="173">
        <v>65000</v>
      </c>
    </row>
    <row r="36" spans="1:6" s="43" customFormat="1" ht="12.75">
      <c r="A36" s="156"/>
      <c r="B36" s="166"/>
      <c r="C36" s="174"/>
      <c r="D36" s="174"/>
      <c r="E36" s="174"/>
      <c r="F36" s="174"/>
    </row>
    <row r="37" spans="1:6" s="43" customFormat="1" ht="12.75">
      <c r="A37" s="156" t="s">
        <v>260</v>
      </c>
      <c r="B37" s="166" t="s">
        <v>261</v>
      </c>
      <c r="C37" s="266"/>
      <c r="D37" s="266"/>
      <c r="E37" s="266"/>
      <c r="F37" s="171">
        <v>340000</v>
      </c>
    </row>
    <row r="38" spans="1:6" ht="12.75">
      <c r="A38" s="157"/>
      <c r="B38" s="166"/>
      <c r="C38" s="174"/>
      <c r="D38" s="174"/>
      <c r="E38" s="174"/>
      <c r="F38" s="174"/>
    </row>
    <row r="39" spans="1:6" s="43" customFormat="1" ht="12.75">
      <c r="A39" s="160"/>
      <c r="B39" s="169" t="s">
        <v>100</v>
      </c>
      <c r="C39" s="171">
        <f>C26+C30+C37</f>
        <v>28833940.160000004</v>
      </c>
      <c r="D39" s="171">
        <f>D26+D30+D37</f>
        <v>31898991.51</v>
      </c>
      <c r="E39" s="171">
        <f>E26+E30+E37</f>
        <v>31266009.310000002</v>
      </c>
      <c r="F39" s="171">
        <f>F26+F30+F37</f>
        <v>32705000</v>
      </c>
    </row>
    <row r="40" spans="1:6" ht="13.5" thickBot="1">
      <c r="A40" s="157"/>
      <c r="B40" s="166"/>
      <c r="C40" s="174"/>
      <c r="D40" s="174"/>
      <c r="E40" s="174"/>
      <c r="F40" s="174"/>
    </row>
    <row r="41" spans="1:6" ht="13.5" thickTop="1">
      <c r="A41" s="157"/>
      <c r="B41" s="267" t="s">
        <v>275</v>
      </c>
      <c r="C41" s="47">
        <f>C24</f>
        <v>2014</v>
      </c>
      <c r="D41" s="47">
        <f>D24</f>
        <v>2015</v>
      </c>
      <c r="E41" s="47">
        <f>E24</f>
        <v>2016</v>
      </c>
      <c r="F41" s="48">
        <f>F24</f>
        <v>2017</v>
      </c>
    </row>
    <row r="42" spans="1:6" s="43" customFormat="1" ht="12.75">
      <c r="A42" s="160"/>
      <c r="B42" s="166" t="s">
        <v>297</v>
      </c>
      <c r="C42" s="172">
        <v>16638190</v>
      </c>
      <c r="D42" s="172">
        <v>27565000</v>
      </c>
      <c r="E42" s="172">
        <v>29880000</v>
      </c>
      <c r="F42" s="172">
        <v>32705000</v>
      </c>
    </row>
    <row r="43" spans="1:6" ht="12.75">
      <c r="A43" s="157"/>
      <c r="B43" s="166" t="s">
        <v>216</v>
      </c>
      <c r="C43" s="175">
        <v>234320</v>
      </c>
      <c r="D43" s="175">
        <v>252500</v>
      </c>
      <c r="E43" s="175">
        <v>276060</v>
      </c>
      <c r="F43" s="175">
        <f>F7</f>
        <v>283950</v>
      </c>
    </row>
    <row r="44" spans="1:6" ht="12.75">
      <c r="A44" s="157"/>
      <c r="B44" s="166" t="s">
        <v>217</v>
      </c>
      <c r="C44" s="175">
        <f aca="true" t="shared" si="0" ref="C44:F46">C15</f>
        <v>0</v>
      </c>
      <c r="D44" s="175">
        <f t="shared" si="0"/>
        <v>0</v>
      </c>
      <c r="E44" s="175">
        <f t="shared" si="0"/>
        <v>0</v>
      </c>
      <c r="F44" s="175">
        <f t="shared" si="0"/>
        <v>0</v>
      </c>
    </row>
    <row r="45" spans="1:6" ht="12.75">
      <c r="A45" s="157"/>
      <c r="B45" s="166" t="s">
        <v>218</v>
      </c>
      <c r="C45" s="175">
        <f t="shared" si="0"/>
        <v>0</v>
      </c>
      <c r="D45" s="175">
        <f t="shared" si="0"/>
        <v>145463</v>
      </c>
      <c r="E45" s="175">
        <f t="shared" si="0"/>
        <v>125300</v>
      </c>
      <c r="F45" s="175">
        <f t="shared" si="0"/>
        <v>5000</v>
      </c>
    </row>
    <row r="46" spans="1:6" ht="12.75">
      <c r="A46" s="157"/>
      <c r="B46" s="166" t="s">
        <v>223</v>
      </c>
      <c r="C46" s="175">
        <f t="shared" si="0"/>
        <v>67074.36</v>
      </c>
      <c r="D46" s="175">
        <f t="shared" si="0"/>
        <v>84617.59</v>
      </c>
      <c r="E46" s="175">
        <f t="shared" si="0"/>
        <v>119448.58</v>
      </c>
      <c r="F46" s="175">
        <f t="shared" si="0"/>
        <v>120000</v>
      </c>
    </row>
    <row r="47" spans="1:6" s="43" customFormat="1" ht="12.75">
      <c r="A47" s="160"/>
      <c r="B47" s="166" t="s">
        <v>219</v>
      </c>
      <c r="C47" s="172">
        <v>16638190</v>
      </c>
      <c r="D47" s="172">
        <v>27565000</v>
      </c>
      <c r="E47" s="172">
        <v>29880000</v>
      </c>
      <c r="F47" s="172">
        <v>32705000</v>
      </c>
    </row>
    <row r="48" spans="1:6" ht="12.75">
      <c r="A48" s="157"/>
      <c r="B48" s="166" t="s">
        <v>90</v>
      </c>
      <c r="C48" s="175">
        <f>C28</f>
        <v>72257.05</v>
      </c>
      <c r="D48" s="175">
        <f>D28</f>
        <v>46955.32</v>
      </c>
      <c r="E48" s="175">
        <f>E28</f>
        <v>20610.19</v>
      </c>
      <c r="F48" s="175">
        <f>F28</f>
        <v>20000</v>
      </c>
    </row>
    <row r="49" spans="1:6" ht="12.75">
      <c r="A49" s="157"/>
      <c r="B49" s="166" t="s">
        <v>220</v>
      </c>
      <c r="C49" s="175">
        <f>C35</f>
        <v>341253.87</v>
      </c>
      <c r="D49" s="175">
        <f>D35</f>
        <v>323034.97</v>
      </c>
      <c r="E49" s="175">
        <f>E35</f>
        <v>309439.98</v>
      </c>
      <c r="F49" s="175">
        <f>F35</f>
        <v>65000</v>
      </c>
    </row>
    <row r="50" spans="1:6" ht="12.75">
      <c r="A50" s="157"/>
      <c r="B50" s="166" t="s">
        <v>221</v>
      </c>
      <c r="C50" s="175">
        <v>0</v>
      </c>
      <c r="D50" s="175">
        <v>0</v>
      </c>
      <c r="E50" s="175">
        <v>0</v>
      </c>
      <c r="F50" s="175">
        <v>0</v>
      </c>
    </row>
    <row r="51" spans="1:2" ht="12.75">
      <c r="A51" s="170"/>
      <c r="B51" s="167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B21" sqref="B21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0" t="s">
        <v>316</v>
      </c>
    </row>
    <row r="2" spans="1:4" ht="28.5" customHeight="1">
      <c r="A2"/>
      <c r="B2" s="53" t="s">
        <v>226</v>
      </c>
      <c r="D2" s="228"/>
    </row>
    <row r="3" spans="2:4" ht="15.75">
      <c r="B3" s="53"/>
      <c r="D3" s="228"/>
    </row>
    <row r="4" spans="2:4" ht="16.5" thickBot="1">
      <c r="B4" s="153"/>
      <c r="D4" s="228"/>
    </row>
    <row r="5" spans="2:8" ht="16.5" thickTop="1">
      <c r="B5" s="348"/>
      <c r="C5" s="229">
        <f>DADOS!$E$32-3</f>
        <v>2015</v>
      </c>
      <c r="D5" s="229">
        <f>DADOS!$E$32-2</f>
        <v>2016</v>
      </c>
      <c r="E5" s="229">
        <f>DADOS!$E$32-1</f>
        <v>2017</v>
      </c>
      <c r="F5" s="229">
        <f>DADOS!$E$32-0</f>
        <v>2018</v>
      </c>
      <c r="G5" s="229">
        <f>DADOS!$E$32+1</f>
        <v>2019</v>
      </c>
      <c r="H5" s="229">
        <f>DADOS!$E$32+2</f>
        <v>2020</v>
      </c>
    </row>
    <row r="6" spans="2:8" ht="15.75">
      <c r="B6" s="349"/>
      <c r="C6" s="230" t="s">
        <v>254</v>
      </c>
      <c r="D6" s="231" t="s">
        <v>254</v>
      </c>
      <c r="E6" s="231" t="s">
        <v>255</v>
      </c>
      <c r="F6" s="231" t="s">
        <v>19</v>
      </c>
      <c r="G6" s="231" t="s">
        <v>19</v>
      </c>
      <c r="H6" s="231" t="s">
        <v>19</v>
      </c>
    </row>
    <row r="7" spans="2:8" ht="22.5" customHeight="1">
      <c r="B7" s="232" t="s">
        <v>270</v>
      </c>
      <c r="C7" s="119">
        <v>557516.64</v>
      </c>
      <c r="D7" s="119">
        <v>55722.64</v>
      </c>
      <c r="E7" s="119">
        <v>35438.34</v>
      </c>
      <c r="F7" s="233">
        <f>E7-Projeções!G35-Projeções!G42</f>
        <v>-423561.66000000003</v>
      </c>
      <c r="G7" s="233">
        <f>F7+Projeções!H21-Projeções!H35-Projeções!H42</f>
        <v>-893561.66</v>
      </c>
      <c r="H7" s="233">
        <f>G7+Projeções!I21-Projeções!I35-Projeções!I42</f>
        <v>-1381561.6600000001</v>
      </c>
    </row>
    <row r="8" spans="2:8" ht="15">
      <c r="B8" s="51" t="s">
        <v>276</v>
      </c>
      <c r="C8" s="118">
        <v>3516252.75</v>
      </c>
      <c r="D8" s="118">
        <v>3688853.37</v>
      </c>
      <c r="E8" s="118">
        <v>4319310.89</v>
      </c>
      <c r="F8" s="226">
        <f>E8+Projeções!G28+Projeções!G43-Projeções!G44</f>
        <v>4579310.890000001</v>
      </c>
      <c r="G8" s="226">
        <f>F8+Projeções!H28+Projeções!H43-Projeções!H44</f>
        <v>4859310.890000001</v>
      </c>
      <c r="H8" s="226">
        <f>G8+Projeções!I28+Projeções!I43-Projeções!I44</f>
        <v>5169310.890000001</v>
      </c>
    </row>
    <row r="9" spans="2:8" ht="22.5" customHeight="1">
      <c r="B9" s="60" t="s">
        <v>128</v>
      </c>
      <c r="C9" s="226">
        <f aca="true" t="shared" si="0" ref="C9:H9">C7-C8</f>
        <v>-2958736.11</v>
      </c>
      <c r="D9" s="226">
        <f t="shared" si="0"/>
        <v>-3633130.73</v>
      </c>
      <c r="E9" s="226">
        <f t="shared" si="0"/>
        <v>-4283872.55</v>
      </c>
      <c r="F9" s="226">
        <f t="shared" si="0"/>
        <v>-5002872.550000001</v>
      </c>
      <c r="G9" s="226">
        <f t="shared" si="0"/>
        <v>-5752872.550000001</v>
      </c>
      <c r="H9" s="226">
        <f t="shared" si="0"/>
        <v>-6550872.550000001</v>
      </c>
    </row>
    <row r="10" spans="1:8" s="117" customFormat="1" ht="21.75" customHeight="1" thickBot="1">
      <c r="A10" s="234"/>
      <c r="B10" s="235" t="s">
        <v>49</v>
      </c>
      <c r="C10" s="227"/>
      <c r="D10" s="227">
        <f>D9-C9</f>
        <v>-674394.6200000001</v>
      </c>
      <c r="E10" s="227">
        <f>E9-D9</f>
        <v>-650741.8199999998</v>
      </c>
      <c r="F10" s="227">
        <f>F9-E9</f>
        <v>-719000.0000000009</v>
      </c>
      <c r="G10" s="227">
        <f>G9-F9</f>
        <v>-750000</v>
      </c>
      <c r="H10" s="227">
        <f>H9-G9</f>
        <v>-798000</v>
      </c>
    </row>
    <row r="11" spans="2:4" s="8" customFormat="1" ht="16.5" thickTop="1">
      <c r="B11" s="7"/>
      <c r="D11" s="236"/>
    </row>
    <row r="12" spans="1:8" ht="16.5" thickBot="1">
      <c r="A12" s="2"/>
      <c r="B12" s="153" t="s">
        <v>50</v>
      </c>
      <c r="C12" s="5"/>
      <c r="D12" s="237"/>
      <c r="E12" s="11"/>
      <c r="F12" s="11"/>
      <c r="G12" s="3"/>
      <c r="H12" s="238" t="s">
        <v>11</v>
      </c>
    </row>
    <row r="13" spans="2:8" ht="16.5" thickTop="1">
      <c r="B13" s="348" t="s">
        <v>318</v>
      </c>
      <c r="C13" s="229">
        <f aca="true" t="shared" si="1" ref="C13:H13">C5</f>
        <v>2015</v>
      </c>
      <c r="D13" s="229">
        <f t="shared" si="1"/>
        <v>2016</v>
      </c>
      <c r="E13" s="229">
        <f t="shared" si="1"/>
        <v>2017</v>
      </c>
      <c r="F13" s="229">
        <f t="shared" si="1"/>
        <v>2018</v>
      </c>
      <c r="G13" s="229">
        <f t="shared" si="1"/>
        <v>2019</v>
      </c>
      <c r="H13" s="229">
        <f t="shared" si="1"/>
        <v>2020</v>
      </c>
    </row>
    <row r="14" spans="2:8" ht="15.75">
      <c r="B14" s="349"/>
      <c r="C14" s="230" t="s">
        <v>18</v>
      </c>
      <c r="D14" s="231" t="s">
        <v>18</v>
      </c>
      <c r="E14" s="231" t="s">
        <v>255</v>
      </c>
      <c r="F14" s="231" t="s">
        <v>19</v>
      </c>
      <c r="G14" s="231" t="s">
        <v>19</v>
      </c>
      <c r="H14" s="239" t="s">
        <v>19</v>
      </c>
    </row>
    <row r="15" spans="2:8" s="41" customFormat="1" ht="15.75">
      <c r="B15" s="240" t="s">
        <v>53</v>
      </c>
      <c r="C15" s="241">
        <f>Plano!D15</f>
        <v>0</v>
      </c>
      <c r="D15" s="241">
        <f>Plano!E15</f>
        <v>0</v>
      </c>
      <c r="E15" s="241">
        <f>Plano!F15</f>
        <v>0</v>
      </c>
      <c r="F15" s="242">
        <v>0</v>
      </c>
      <c r="G15" s="242">
        <v>0</v>
      </c>
      <c r="H15" s="242">
        <v>0</v>
      </c>
    </row>
    <row r="16" spans="2:8" ht="15.75">
      <c r="B16" s="60" t="s">
        <v>51</v>
      </c>
      <c r="C16" s="243">
        <f>Plano!D28</f>
        <v>46955.32</v>
      </c>
      <c r="D16" s="243">
        <f>Plano!E28</f>
        <v>20610.19</v>
      </c>
      <c r="E16" s="243">
        <f>Plano!F28</f>
        <v>20000</v>
      </c>
      <c r="F16" s="243">
        <f>Projeções!G35</f>
        <v>112000</v>
      </c>
      <c r="G16" s="243">
        <f>Projeções!H35</f>
        <v>115000</v>
      </c>
      <c r="H16" s="243">
        <f>Projeções!I35</f>
        <v>118000</v>
      </c>
    </row>
    <row r="17" spans="2:8" ht="15.75">
      <c r="B17" s="60" t="s">
        <v>52</v>
      </c>
      <c r="C17" s="243">
        <f>Plano!D35</f>
        <v>323034.97</v>
      </c>
      <c r="D17" s="243">
        <f>Plano!E35</f>
        <v>309439.98</v>
      </c>
      <c r="E17" s="243">
        <f>Plano!F35</f>
        <v>65000</v>
      </c>
      <c r="F17" s="243">
        <f>Projeções!G42</f>
        <v>347000</v>
      </c>
      <c r="G17" s="243">
        <f>Projeções!H42</f>
        <v>355000</v>
      </c>
      <c r="H17" s="243">
        <f>Projeções!I42</f>
        <v>370000</v>
      </c>
    </row>
    <row r="18" spans="2:8" ht="15.75" customHeight="1" hidden="1">
      <c r="B18" s="51" t="s">
        <v>43</v>
      </c>
      <c r="C18" s="9"/>
      <c r="D18" s="244"/>
      <c r="E18" s="9"/>
      <c r="F18" s="9"/>
      <c r="G18" s="9"/>
      <c r="H18" s="10"/>
    </row>
    <row r="19" spans="2:8" ht="15.75" thickBot="1">
      <c r="B19" s="61"/>
      <c r="C19" s="12"/>
      <c r="D19" s="245"/>
      <c r="E19" s="13"/>
      <c r="F19" s="13"/>
      <c r="G19" s="13"/>
      <c r="H19" s="14"/>
    </row>
    <row r="20" spans="2:4" ht="16.5" thickTop="1">
      <c r="B20" s="153"/>
      <c r="D20" s="228"/>
    </row>
    <row r="21" spans="2:4" ht="15.75">
      <c r="B21" s="153" t="s">
        <v>274</v>
      </c>
      <c r="D21" s="228"/>
    </row>
    <row r="22" spans="2:4" ht="15.75">
      <c r="B22" s="153" t="s">
        <v>272</v>
      </c>
      <c r="D22" s="228"/>
    </row>
    <row r="23" spans="2:4" ht="15.75">
      <c r="B23" s="153" t="s">
        <v>273</v>
      </c>
      <c r="D23" s="228"/>
    </row>
    <row r="24" spans="2:4" ht="15.75">
      <c r="B24" s="153" t="s">
        <v>326</v>
      </c>
      <c r="D24" s="228"/>
    </row>
    <row r="25" spans="2:4" ht="15.75">
      <c r="B25" s="153" t="s">
        <v>320</v>
      </c>
      <c r="D25" s="228"/>
    </row>
    <row r="26" spans="2:5" ht="15.75">
      <c r="B26" s="323"/>
      <c r="C26" s="324"/>
      <c r="D26" s="325"/>
      <c r="E26" s="325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zoomScalePageLayoutView="0" workbookViewId="0" topLeftCell="A5">
      <selection activeCell="G10" sqref="G10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76" t="s">
        <v>46</v>
      </c>
      <c r="B2" s="176"/>
      <c r="C2" s="177"/>
      <c r="D2" s="177"/>
      <c r="E2" s="177"/>
      <c r="F2" s="178"/>
      <c r="G2" s="178"/>
      <c r="H2" s="178"/>
      <c r="I2" s="178"/>
      <c r="J2" s="19"/>
    </row>
    <row r="3" spans="1:10" s="15" customFormat="1" ht="19.5" customHeight="1">
      <c r="A3" s="179"/>
      <c r="B3" s="180"/>
      <c r="C3" s="180"/>
      <c r="D3" s="180"/>
      <c r="E3" s="180"/>
      <c r="F3" s="180"/>
      <c r="G3" s="180"/>
      <c r="H3" s="180"/>
      <c r="I3" s="180"/>
      <c r="J3" s="21"/>
    </row>
    <row r="4" spans="1:10" s="15" customFormat="1" ht="15.75" hidden="1">
      <c r="A4" s="181"/>
      <c r="B4" s="182"/>
      <c r="C4" s="182"/>
      <c r="D4" s="182"/>
      <c r="E4" s="182"/>
      <c r="F4" s="182"/>
      <c r="G4" s="182"/>
      <c r="H4" s="182"/>
      <c r="I4" s="182"/>
      <c r="J4" s="20"/>
    </row>
    <row r="5" spans="1:10" s="15" customFormat="1" ht="16.5" thickBot="1">
      <c r="A5" s="183"/>
      <c r="B5" s="184"/>
      <c r="C5" s="184"/>
      <c r="D5" s="184"/>
      <c r="E5" s="184"/>
      <c r="F5" s="184"/>
      <c r="G5" s="184"/>
      <c r="H5" s="184"/>
      <c r="I5" s="185" t="s">
        <v>103</v>
      </c>
      <c r="J5" s="34"/>
    </row>
    <row r="6" spans="1:10" s="6" customFormat="1" ht="16.5" thickTop="1">
      <c r="A6" s="213" t="s">
        <v>0</v>
      </c>
      <c r="B6" s="214" t="s">
        <v>1</v>
      </c>
      <c r="C6" s="211" t="s">
        <v>15</v>
      </c>
      <c r="D6" s="186" t="s">
        <v>15</v>
      </c>
      <c r="E6" s="186" t="s">
        <v>15</v>
      </c>
      <c r="F6" s="186" t="s">
        <v>256</v>
      </c>
      <c r="G6" s="186" t="s">
        <v>20</v>
      </c>
      <c r="H6" s="187" t="s">
        <v>20</v>
      </c>
      <c r="I6" s="188" t="s">
        <v>20</v>
      </c>
      <c r="J6" s="37" t="s">
        <v>20</v>
      </c>
    </row>
    <row r="7" spans="1:10" s="6" customFormat="1" ht="27.75" customHeight="1">
      <c r="A7" s="215"/>
      <c r="B7" s="216" t="s">
        <v>14</v>
      </c>
      <c r="C7" s="204">
        <f>Plano!C1</f>
        <v>2014</v>
      </c>
      <c r="D7" s="189">
        <f>Plano!D1</f>
        <v>2015</v>
      </c>
      <c r="E7" s="189">
        <f>Plano!E1</f>
        <v>2016</v>
      </c>
      <c r="F7" s="189">
        <f>Plano!F1</f>
        <v>2017</v>
      </c>
      <c r="G7" s="189">
        <f>F7+1</f>
        <v>2018</v>
      </c>
      <c r="H7" s="190">
        <f>G7+1</f>
        <v>2019</v>
      </c>
      <c r="I7" s="191">
        <f>H7+1</f>
        <v>2020</v>
      </c>
      <c r="J7" s="38">
        <v>2005</v>
      </c>
    </row>
    <row r="8" spans="1:10" s="22" customFormat="1" ht="17.25" customHeight="1">
      <c r="A8" s="217"/>
      <c r="B8" s="218"/>
      <c r="C8" s="212"/>
      <c r="D8" s="192"/>
      <c r="E8" s="192"/>
      <c r="F8" s="192"/>
      <c r="G8" s="192"/>
      <c r="H8" s="193"/>
      <c r="I8" s="194"/>
      <c r="J8" s="39"/>
    </row>
    <row r="9" spans="1:9" s="45" customFormat="1" ht="12.75">
      <c r="A9" s="160" t="s">
        <v>57</v>
      </c>
      <c r="B9" s="161" t="s">
        <v>2</v>
      </c>
      <c r="C9" s="223">
        <f>Plano!C3</f>
        <v>31728524.159999996</v>
      </c>
      <c r="D9" s="223">
        <f>Plano!D3</f>
        <v>30624705.759999998</v>
      </c>
      <c r="E9" s="223">
        <f>Plano!E3</f>
        <v>31048795.56</v>
      </c>
      <c r="F9" s="223">
        <f>Plano!F3</f>
        <v>37137600</v>
      </c>
      <c r="G9" s="223">
        <f>G10+G11+G12+G15+G16+G17+G18+G19</f>
        <v>28164200</v>
      </c>
      <c r="H9" s="223">
        <f>H10+H11+H12+H15+H16+H17+H18+H19</f>
        <v>31206200</v>
      </c>
      <c r="I9" s="223">
        <f>I10+I11+I12+I15+I16+I17+I18+I19</f>
        <v>33907400</v>
      </c>
    </row>
    <row r="10" spans="1:9" s="45" customFormat="1" ht="12.75">
      <c r="A10" s="160" t="s">
        <v>58</v>
      </c>
      <c r="B10" s="161" t="s">
        <v>59</v>
      </c>
      <c r="C10" s="269">
        <f>Plano!C4</f>
        <v>2255109.93</v>
      </c>
      <c r="D10" s="269">
        <f>Plano!D4</f>
        <v>2391392.73</v>
      </c>
      <c r="E10" s="269">
        <f>Plano!E4</f>
        <v>2625233.82</v>
      </c>
      <c r="F10" s="269">
        <f>Plano!F4</f>
        <v>2532807</v>
      </c>
      <c r="G10" s="269">
        <v>1645100</v>
      </c>
      <c r="H10" s="269">
        <v>2402200</v>
      </c>
      <c r="I10" s="269">
        <v>2351700</v>
      </c>
    </row>
    <row r="11" spans="1:9" s="45" customFormat="1" ht="12" customHeight="1">
      <c r="A11" s="160" t="s">
        <v>60</v>
      </c>
      <c r="B11" s="161" t="s">
        <v>61</v>
      </c>
      <c r="C11" s="269">
        <f>Plano!C5</f>
        <v>134108.89</v>
      </c>
      <c r="D11" s="269">
        <f>Plano!D5</f>
        <v>183301.11</v>
      </c>
      <c r="E11" s="269">
        <f>Plano!E5</f>
        <v>198837.73</v>
      </c>
      <c r="F11" s="269">
        <f>Plano!F5</f>
        <v>180000</v>
      </c>
      <c r="G11" s="269">
        <v>135000</v>
      </c>
      <c r="H11" s="269">
        <v>150000</v>
      </c>
      <c r="I11" s="269">
        <v>165000</v>
      </c>
    </row>
    <row r="12" spans="1:9" s="45" customFormat="1" ht="12.75">
      <c r="A12" s="160" t="s">
        <v>62</v>
      </c>
      <c r="B12" s="161" t="s">
        <v>3</v>
      </c>
      <c r="C12" s="223">
        <f>Plano!C6</f>
        <v>355706.39</v>
      </c>
      <c r="D12" s="223">
        <f>Plano!D6</f>
        <v>422635.71</v>
      </c>
      <c r="E12" s="223">
        <f>Plano!E6</f>
        <v>332240.42</v>
      </c>
      <c r="F12" s="223">
        <f>Plano!F6</f>
        <v>372950</v>
      </c>
      <c r="G12" s="223">
        <f>G13+G14</f>
        <v>459320</v>
      </c>
      <c r="H12" s="223">
        <f>H13+H14</f>
        <v>417500</v>
      </c>
      <c r="I12" s="223">
        <f>I13+I14</f>
        <v>371060</v>
      </c>
    </row>
    <row r="13" spans="1:9" ht="12.75">
      <c r="A13" s="219" t="s">
        <v>63</v>
      </c>
      <c r="B13" s="220" t="s">
        <v>246</v>
      </c>
      <c r="C13" s="269">
        <f>Plano!C7</f>
        <v>349526.96</v>
      </c>
      <c r="D13" s="269">
        <f>Plano!D7</f>
        <v>413425.78</v>
      </c>
      <c r="E13" s="269">
        <f>Plano!E7</f>
        <v>316329.6</v>
      </c>
      <c r="F13" s="269">
        <f>Plano!F7</f>
        <v>283950</v>
      </c>
      <c r="G13" s="269">
        <v>234320</v>
      </c>
      <c r="H13" s="269">
        <v>252500</v>
      </c>
      <c r="I13" s="269">
        <v>276060</v>
      </c>
    </row>
    <row r="14" spans="1:9" ht="12.75">
      <c r="A14" s="219" t="s">
        <v>64</v>
      </c>
      <c r="B14" s="220" t="s">
        <v>65</v>
      </c>
      <c r="C14" s="269">
        <f>Plano!C8</f>
        <v>6179.43</v>
      </c>
      <c r="D14" s="269">
        <f>Plano!D8</f>
        <v>9209.93</v>
      </c>
      <c r="E14" s="269">
        <f>Plano!E8</f>
        <v>15910.82</v>
      </c>
      <c r="F14" s="269">
        <f>Plano!F8</f>
        <v>89000</v>
      </c>
      <c r="G14" s="269">
        <v>225000</v>
      </c>
      <c r="H14" s="269">
        <v>165000</v>
      </c>
      <c r="I14" s="269">
        <v>95000</v>
      </c>
    </row>
    <row r="15" spans="1:9" ht="12.75">
      <c r="A15" s="160" t="s">
        <v>66</v>
      </c>
      <c r="B15" s="161" t="s">
        <v>67</v>
      </c>
      <c r="C15" s="269">
        <f>Plano!C9</f>
        <v>0</v>
      </c>
      <c r="D15" s="269">
        <f>Plano!D9</f>
        <v>0</v>
      </c>
      <c r="E15" s="269">
        <f>Plano!E9</f>
        <v>0</v>
      </c>
      <c r="F15" s="269">
        <f>Plano!F9</f>
        <v>20000</v>
      </c>
      <c r="G15" s="269">
        <v>20000</v>
      </c>
      <c r="H15" s="269">
        <v>20000</v>
      </c>
      <c r="I15" s="269">
        <v>20000</v>
      </c>
    </row>
    <row r="16" spans="1:9" ht="12.75">
      <c r="A16" s="160" t="s">
        <v>68</v>
      </c>
      <c r="B16" s="161" t="s">
        <v>4</v>
      </c>
      <c r="C16" s="269">
        <f>Plano!C10</f>
        <v>0</v>
      </c>
      <c r="D16" s="269">
        <f>Plano!D10</f>
        <v>0</v>
      </c>
      <c r="E16" s="269">
        <f>Plano!E10</f>
        <v>0</v>
      </c>
      <c r="F16" s="269">
        <f>Plano!F10</f>
        <v>0</v>
      </c>
      <c r="G16" s="269">
        <v>0</v>
      </c>
      <c r="H16" s="269">
        <v>0</v>
      </c>
      <c r="I16" s="269">
        <v>0</v>
      </c>
    </row>
    <row r="17" spans="1:9" ht="12.75">
      <c r="A17" s="160" t="s">
        <v>69</v>
      </c>
      <c r="B17" s="161" t="s">
        <v>70</v>
      </c>
      <c r="C17" s="269">
        <f>Plano!C11</f>
        <v>14641.92</v>
      </c>
      <c r="D17" s="269">
        <f>Plano!D11</f>
        <v>5260.54</v>
      </c>
      <c r="E17" s="269">
        <f>Plano!E11</f>
        <v>10007.64</v>
      </c>
      <c r="F17" s="269">
        <f>Plano!F11</f>
        <v>224500</v>
      </c>
      <c r="G17" s="269">
        <v>168000</v>
      </c>
      <c r="H17" s="269">
        <v>183500</v>
      </c>
      <c r="I17" s="269">
        <v>204000</v>
      </c>
    </row>
    <row r="18" spans="1:9" s="45" customFormat="1" ht="12.75">
      <c r="A18" s="160" t="s">
        <v>71</v>
      </c>
      <c r="B18" s="161" t="s">
        <v>72</v>
      </c>
      <c r="C18" s="269">
        <f>Plano!C12</f>
        <v>26663170.56</v>
      </c>
      <c r="D18" s="269">
        <f>Plano!D12</f>
        <v>27281196.18</v>
      </c>
      <c r="E18" s="269">
        <f>Plano!E12</f>
        <v>27543385.63</v>
      </c>
      <c r="F18" s="269">
        <f>Plano!F12</f>
        <v>33314950</v>
      </c>
      <c r="G18" s="269">
        <v>25299830</v>
      </c>
      <c r="H18" s="269">
        <v>27576460</v>
      </c>
      <c r="I18" s="269">
        <v>30318610</v>
      </c>
    </row>
    <row r="19" spans="1:9" s="45" customFormat="1" ht="12.75">
      <c r="A19" s="160" t="s">
        <v>73</v>
      </c>
      <c r="B19" s="161" t="s">
        <v>5</v>
      </c>
      <c r="C19" s="269">
        <f>Plano!C13</f>
        <v>2305786.47</v>
      </c>
      <c r="D19" s="269">
        <f>Plano!D13</f>
        <v>340919.49</v>
      </c>
      <c r="E19" s="269">
        <f>Plano!E13</f>
        <v>339090.32</v>
      </c>
      <c r="F19" s="269">
        <f>Plano!F13</f>
        <v>492393</v>
      </c>
      <c r="G19" s="269">
        <v>436950</v>
      </c>
      <c r="H19" s="269">
        <v>456540</v>
      </c>
      <c r="I19" s="269">
        <v>477030</v>
      </c>
    </row>
    <row r="20" spans="1:9" s="45" customFormat="1" ht="12.75">
      <c r="A20" s="160" t="s">
        <v>74</v>
      </c>
      <c r="B20" s="161" t="s">
        <v>75</v>
      </c>
      <c r="C20" s="223">
        <f>Plano!C14</f>
        <v>1934747.8800000001</v>
      </c>
      <c r="D20" s="223">
        <f>Plano!D14</f>
        <v>3889235.05</v>
      </c>
      <c r="E20" s="223">
        <f>Plano!E14</f>
        <v>2391857.5700000003</v>
      </c>
      <c r="F20" s="223">
        <f>Plano!F14</f>
        <v>125000</v>
      </c>
      <c r="G20" s="223">
        <f>G21+G22+G23+G24+G25</f>
        <v>185000</v>
      </c>
      <c r="H20" s="223">
        <f>H21+H22+H23+H24+H25</f>
        <v>145000</v>
      </c>
      <c r="I20" s="223">
        <f>I21+I22+I23+I24+I25</f>
        <v>125000</v>
      </c>
    </row>
    <row r="21" spans="1:9" s="45" customFormat="1" ht="12.75">
      <c r="A21" s="160" t="s">
        <v>76</v>
      </c>
      <c r="B21" s="161" t="s">
        <v>77</v>
      </c>
      <c r="C21" s="269">
        <f>Plano!C15</f>
        <v>0</v>
      </c>
      <c r="D21" s="269">
        <f>Plano!D15</f>
        <v>0</v>
      </c>
      <c r="E21" s="269">
        <f>Plano!E15</f>
        <v>0</v>
      </c>
      <c r="F21" s="269">
        <f>Plano!F15</f>
        <v>0</v>
      </c>
      <c r="G21" s="269">
        <v>0</v>
      </c>
      <c r="H21" s="269">
        <v>0</v>
      </c>
      <c r="I21" s="269">
        <v>0</v>
      </c>
    </row>
    <row r="22" spans="1:9" s="45" customFormat="1" ht="12.75">
      <c r="A22" s="160" t="s">
        <v>78</v>
      </c>
      <c r="B22" s="161" t="s">
        <v>79</v>
      </c>
      <c r="C22" s="269">
        <f>Plano!C16</f>
        <v>0</v>
      </c>
      <c r="D22" s="269">
        <f>Plano!D16</f>
        <v>145463</v>
      </c>
      <c r="E22" s="269">
        <f>Plano!E16</f>
        <v>125300</v>
      </c>
      <c r="F22" s="269">
        <f>Plano!F16</f>
        <v>5000</v>
      </c>
      <c r="G22" s="269">
        <v>5000</v>
      </c>
      <c r="H22" s="269">
        <v>5000</v>
      </c>
      <c r="I22" s="269">
        <v>5000</v>
      </c>
    </row>
    <row r="23" spans="1:9" ht="12.75">
      <c r="A23" s="160" t="s">
        <v>80</v>
      </c>
      <c r="B23" s="161" t="s">
        <v>81</v>
      </c>
      <c r="C23" s="269">
        <f>Plano!C17</f>
        <v>67074.36</v>
      </c>
      <c r="D23" s="269">
        <f>Plano!D17</f>
        <v>84617.59</v>
      </c>
      <c r="E23" s="269">
        <f>Plano!E17</f>
        <v>119448.58</v>
      </c>
      <c r="F23" s="269">
        <f>Plano!F17</f>
        <v>120000</v>
      </c>
      <c r="G23" s="269">
        <v>180000</v>
      </c>
      <c r="H23" s="269">
        <v>140000</v>
      </c>
      <c r="I23" s="269">
        <v>120000</v>
      </c>
    </row>
    <row r="24" spans="1:9" s="45" customFormat="1" ht="12.75">
      <c r="A24" s="160" t="s">
        <v>82</v>
      </c>
      <c r="B24" s="161" t="s">
        <v>83</v>
      </c>
      <c r="C24" s="269">
        <f>Plano!C18</f>
        <v>1867673.52</v>
      </c>
      <c r="D24" s="269">
        <f>Plano!D18</f>
        <v>3659154.46</v>
      </c>
      <c r="E24" s="269">
        <f>Plano!E18</f>
        <v>2147108.99</v>
      </c>
      <c r="F24" s="269">
        <f>Plano!F18</f>
        <v>0</v>
      </c>
      <c r="G24" s="269">
        <v>0</v>
      </c>
      <c r="H24" s="269">
        <v>0</v>
      </c>
      <c r="I24" s="269">
        <v>0</v>
      </c>
    </row>
    <row r="25" spans="1:9" ht="12.75">
      <c r="A25" s="160" t="s">
        <v>84</v>
      </c>
      <c r="B25" s="161" t="s">
        <v>6</v>
      </c>
      <c r="C25" s="269">
        <f>Plano!C19</f>
        <v>0</v>
      </c>
      <c r="D25" s="269">
        <f>Plano!D19</f>
        <v>0</v>
      </c>
      <c r="E25" s="269">
        <f>Plano!E19</f>
        <v>0</v>
      </c>
      <c r="F25" s="269">
        <f>Plano!F19</f>
        <v>0</v>
      </c>
      <c r="G25" s="269">
        <v>0</v>
      </c>
      <c r="H25" s="269">
        <v>0</v>
      </c>
      <c r="I25" s="269">
        <v>0</v>
      </c>
    </row>
    <row r="26" spans="1:9" ht="12.75">
      <c r="A26" s="160" t="s">
        <v>247</v>
      </c>
      <c r="B26" s="161" t="s">
        <v>248</v>
      </c>
      <c r="C26" s="269">
        <f>Plano!C20</f>
        <v>-3353610.93</v>
      </c>
      <c r="D26" s="269">
        <f>Plano!D20</f>
        <v>-3537182.71</v>
      </c>
      <c r="E26" s="269">
        <f>Plano!E20</f>
        <v>-3436752.75</v>
      </c>
      <c r="F26" s="269">
        <f>Plano!F20</f>
        <v>-4557600</v>
      </c>
      <c r="G26" s="269">
        <v>-3499200</v>
      </c>
      <c r="H26" s="269">
        <v>-3786200</v>
      </c>
      <c r="I26" s="269">
        <v>-4152400</v>
      </c>
    </row>
    <row r="27" spans="1:9" ht="12.75">
      <c r="A27" s="219"/>
      <c r="B27" s="220"/>
      <c r="C27" s="269"/>
      <c r="D27" s="269"/>
      <c r="E27" s="269"/>
      <c r="F27" s="269"/>
      <c r="G27" s="269"/>
      <c r="H27" s="269"/>
      <c r="I27" s="269"/>
    </row>
    <row r="28" spans="1:9" s="46" customFormat="1" ht="25.5" customHeight="1">
      <c r="A28" s="221"/>
      <c r="B28" s="222" t="s">
        <v>85</v>
      </c>
      <c r="C28" s="223">
        <f>Plano!C22</f>
        <v>30309661.11</v>
      </c>
      <c r="D28" s="223">
        <f>Plano!D22</f>
        <v>30976758.099999994</v>
      </c>
      <c r="E28" s="223">
        <f>Plano!E22</f>
        <v>30003900.38</v>
      </c>
      <c r="F28" s="223">
        <f>Plano!F22</f>
        <v>32705000</v>
      </c>
      <c r="G28" s="223">
        <f>G9+G20+G26</f>
        <v>24850000</v>
      </c>
      <c r="H28" s="223">
        <f>H9+H20+H26</f>
        <v>27565000</v>
      </c>
      <c r="I28" s="223">
        <f>I9+I20+I26</f>
        <v>29880000</v>
      </c>
    </row>
    <row r="29" spans="1:9" ht="12.75">
      <c r="A29" s="195"/>
      <c r="B29" s="195"/>
      <c r="C29" s="196"/>
      <c r="D29" s="196"/>
      <c r="E29" s="196"/>
      <c r="F29" s="196"/>
      <c r="G29" s="196"/>
      <c r="H29" s="196"/>
      <c r="I29" s="196"/>
    </row>
    <row r="30" spans="1:9" ht="13.5" thickBot="1">
      <c r="A30" s="195"/>
      <c r="B30" s="195"/>
      <c r="C30" s="196"/>
      <c r="D30" s="196"/>
      <c r="E30" s="196"/>
      <c r="F30" s="196"/>
      <c r="G30" s="196"/>
      <c r="H30" s="196"/>
      <c r="I30" s="196"/>
    </row>
    <row r="31" spans="1:10" s="6" customFormat="1" ht="16.5" thickTop="1">
      <c r="A31" s="213" t="s">
        <v>0</v>
      </c>
      <c r="B31" s="214" t="s">
        <v>1</v>
      </c>
      <c r="C31" s="211" t="s">
        <v>257</v>
      </c>
      <c r="D31" s="186" t="s">
        <v>257</v>
      </c>
      <c r="E31" s="186" t="s">
        <v>257</v>
      </c>
      <c r="F31" s="186" t="s">
        <v>256</v>
      </c>
      <c r="G31" s="186" t="s">
        <v>20</v>
      </c>
      <c r="H31" s="187" t="s">
        <v>20</v>
      </c>
      <c r="I31" s="188" t="s">
        <v>20</v>
      </c>
      <c r="J31" s="37" t="s">
        <v>20</v>
      </c>
    </row>
    <row r="32" spans="1:10" s="6" customFormat="1" ht="27.75" customHeight="1">
      <c r="A32" s="215"/>
      <c r="B32" s="216" t="s">
        <v>14</v>
      </c>
      <c r="C32" s="204">
        <f>C7</f>
        <v>2014</v>
      </c>
      <c r="D32" s="204">
        <f aca="true" t="shared" si="0" ref="D32:I32">D7</f>
        <v>2015</v>
      </c>
      <c r="E32" s="204">
        <f t="shared" si="0"/>
        <v>2016</v>
      </c>
      <c r="F32" s="204">
        <f t="shared" si="0"/>
        <v>2017</v>
      </c>
      <c r="G32" s="204">
        <f t="shared" si="0"/>
        <v>2018</v>
      </c>
      <c r="H32" s="204">
        <f t="shared" si="0"/>
        <v>2019</v>
      </c>
      <c r="I32" s="204">
        <f t="shared" si="0"/>
        <v>2020</v>
      </c>
      <c r="J32" s="38">
        <v>2005</v>
      </c>
    </row>
    <row r="33" spans="1:9" s="45" customFormat="1" ht="12.75">
      <c r="A33" s="160" t="s">
        <v>86</v>
      </c>
      <c r="B33" s="161" t="s">
        <v>7</v>
      </c>
      <c r="C33" s="223">
        <f>Plano!C26</f>
        <v>25794235.810000002</v>
      </c>
      <c r="D33" s="223">
        <f>Plano!D26</f>
        <v>26831720.060000002</v>
      </c>
      <c r="E33" s="223">
        <f>Plano!E26</f>
        <v>28347407.67</v>
      </c>
      <c r="F33" s="223">
        <f>Plano!F26</f>
        <v>31227328</v>
      </c>
      <c r="G33" s="223">
        <f>G34+G35+G36</f>
        <v>23115470</v>
      </c>
      <c r="H33" s="223">
        <f>H34+H35+H36</f>
        <v>25821682</v>
      </c>
      <c r="I33" s="223">
        <f>I34+I35+I36</f>
        <v>28244690</v>
      </c>
    </row>
    <row r="34" spans="1:9" s="45" customFormat="1" ht="12.75">
      <c r="A34" s="160" t="s">
        <v>87</v>
      </c>
      <c r="B34" s="161" t="s">
        <v>88</v>
      </c>
      <c r="C34" s="270">
        <f>Plano!C27</f>
        <v>12605726.06</v>
      </c>
      <c r="D34" s="270">
        <f>Plano!D27</f>
        <v>13900026.94</v>
      </c>
      <c r="E34" s="270">
        <f>Plano!E27</f>
        <v>14724430.84</v>
      </c>
      <c r="F34" s="270">
        <f>Plano!F27</f>
        <v>15675063</v>
      </c>
      <c r="G34" s="269">
        <v>11876055</v>
      </c>
      <c r="H34" s="269">
        <v>13453811</v>
      </c>
      <c r="I34" s="269">
        <v>14719312</v>
      </c>
    </row>
    <row r="35" spans="1:9" ht="12.75">
      <c r="A35" s="160" t="s">
        <v>89</v>
      </c>
      <c r="B35" s="161" t="s">
        <v>258</v>
      </c>
      <c r="C35" s="270">
        <f>Plano!C28</f>
        <v>72257.05</v>
      </c>
      <c r="D35" s="270">
        <f>Plano!D28</f>
        <v>46955.32</v>
      </c>
      <c r="E35" s="270">
        <f>Plano!E28</f>
        <v>20610.19</v>
      </c>
      <c r="F35" s="270">
        <f>Plano!F28</f>
        <v>20000</v>
      </c>
      <c r="G35" s="269">
        <v>112000</v>
      </c>
      <c r="H35" s="269">
        <v>115000</v>
      </c>
      <c r="I35" s="269">
        <v>118000</v>
      </c>
    </row>
    <row r="36" spans="1:9" s="45" customFormat="1" ht="12.75">
      <c r="A36" s="160" t="s">
        <v>91</v>
      </c>
      <c r="B36" s="161" t="s">
        <v>92</v>
      </c>
      <c r="C36" s="270">
        <f>Plano!C29</f>
        <v>13116252.7</v>
      </c>
      <c r="D36" s="270">
        <f>Plano!D29</f>
        <v>12884737.8</v>
      </c>
      <c r="E36" s="270">
        <f>Plano!E29</f>
        <v>13602366.64</v>
      </c>
      <c r="F36" s="270">
        <f>Plano!F29</f>
        <v>15532265</v>
      </c>
      <c r="G36" s="269">
        <v>11127415</v>
      </c>
      <c r="H36" s="269">
        <v>12252871</v>
      </c>
      <c r="I36" s="269">
        <v>13407378</v>
      </c>
    </row>
    <row r="37" spans="1:9" s="45" customFormat="1" ht="12.75">
      <c r="A37" s="160" t="s">
        <v>93</v>
      </c>
      <c r="B37" s="161" t="s">
        <v>8</v>
      </c>
      <c r="C37" s="223">
        <f>Plano!C30</f>
        <v>3039704.35</v>
      </c>
      <c r="D37" s="223">
        <f>Plano!D30</f>
        <v>5067271.45</v>
      </c>
      <c r="E37" s="223">
        <f>Plano!E30</f>
        <v>2918601.64</v>
      </c>
      <c r="F37" s="223">
        <f>Plano!F30</f>
        <v>1137672</v>
      </c>
      <c r="G37" s="223">
        <f>G38+G39+G42</f>
        <v>1474530</v>
      </c>
      <c r="H37" s="223">
        <f>H38+H39+H42</f>
        <v>1463318</v>
      </c>
      <c r="I37" s="223">
        <f>I38+I39+I42</f>
        <v>1325310</v>
      </c>
    </row>
    <row r="38" spans="1:9" s="45" customFormat="1" ht="12.75">
      <c r="A38" s="160" t="s">
        <v>94</v>
      </c>
      <c r="B38" s="161" t="s">
        <v>9</v>
      </c>
      <c r="C38" s="270">
        <f>Plano!C31</f>
        <v>2698450.48</v>
      </c>
      <c r="D38" s="270">
        <f>Plano!D31</f>
        <v>4744236.48</v>
      </c>
      <c r="E38" s="270">
        <f>Plano!E31</f>
        <v>2609161.66</v>
      </c>
      <c r="F38" s="270">
        <f>Plano!F31</f>
        <v>1057672</v>
      </c>
      <c r="G38" s="269">
        <v>1037530</v>
      </c>
      <c r="H38" s="269">
        <v>1068318</v>
      </c>
      <c r="I38" s="269">
        <v>945310</v>
      </c>
    </row>
    <row r="39" spans="1:9" s="45" customFormat="1" ht="12.75">
      <c r="A39" s="160" t="s">
        <v>95</v>
      </c>
      <c r="B39" s="161" t="s">
        <v>10</v>
      </c>
      <c r="C39" s="223">
        <f>Plano!C32</f>
        <v>0</v>
      </c>
      <c r="D39" s="223">
        <f>Plano!D32</f>
        <v>0</v>
      </c>
      <c r="E39" s="223">
        <f>Plano!E32</f>
        <v>0</v>
      </c>
      <c r="F39" s="223">
        <f>Plano!F32</f>
        <v>15000</v>
      </c>
      <c r="G39" s="223">
        <f>G40+G41</f>
        <v>90000</v>
      </c>
      <c r="H39" s="223">
        <f>H40+H41</f>
        <v>40000</v>
      </c>
      <c r="I39" s="223">
        <f>I40+I41</f>
        <v>10000</v>
      </c>
    </row>
    <row r="40" spans="1:9" ht="12.75">
      <c r="A40" s="219" t="s">
        <v>96</v>
      </c>
      <c r="B40" s="220" t="s">
        <v>97</v>
      </c>
      <c r="C40" s="270">
        <f>Plano!C33</f>
        <v>0</v>
      </c>
      <c r="D40" s="270">
        <f>Plano!D33</f>
        <v>0</v>
      </c>
      <c r="E40" s="270">
        <f>Plano!E33</f>
        <v>0</v>
      </c>
      <c r="F40" s="270">
        <f>Plano!F33</f>
        <v>0</v>
      </c>
      <c r="G40" s="269">
        <f>F40*(1+Parâmetros!E14)*(1+Parâmetros!E15)</f>
        <v>0</v>
      </c>
      <c r="H40" s="269">
        <f>G40*(1+Parâmetros!F14)*(1+Parâmetros!F15)</f>
        <v>0</v>
      </c>
      <c r="I40" s="269">
        <f>H40*(1+Parâmetros!G14)*(1+Parâmetros!G15)</f>
        <v>0</v>
      </c>
    </row>
    <row r="41" spans="1:9" ht="12.75">
      <c r="A41" s="219" t="s">
        <v>249</v>
      </c>
      <c r="B41" s="220" t="s">
        <v>293</v>
      </c>
      <c r="C41" s="270">
        <f>Plano!C34</f>
        <v>0</v>
      </c>
      <c r="D41" s="270">
        <f>Plano!D34</f>
        <v>0</v>
      </c>
      <c r="E41" s="270">
        <f>Plano!E34</f>
        <v>0</v>
      </c>
      <c r="F41" s="270">
        <f>Plano!F34</f>
        <v>15000</v>
      </c>
      <c r="G41" s="269">
        <v>90000</v>
      </c>
      <c r="H41" s="269">
        <v>40000</v>
      </c>
      <c r="I41" s="269">
        <v>10000</v>
      </c>
    </row>
    <row r="42" spans="1:9" s="45" customFormat="1" ht="12.75">
      <c r="A42" s="160" t="s">
        <v>98</v>
      </c>
      <c r="B42" s="161" t="s">
        <v>99</v>
      </c>
      <c r="C42" s="270">
        <f>Plano!C35</f>
        <v>341253.87</v>
      </c>
      <c r="D42" s="270">
        <f>Plano!D35</f>
        <v>323034.97</v>
      </c>
      <c r="E42" s="270">
        <f>Plano!E35</f>
        <v>309439.98</v>
      </c>
      <c r="F42" s="270">
        <f>Plano!F35</f>
        <v>65000</v>
      </c>
      <c r="G42" s="269">
        <v>347000</v>
      </c>
      <c r="H42" s="269">
        <v>355000</v>
      </c>
      <c r="I42" s="269">
        <v>370000</v>
      </c>
    </row>
    <row r="43" spans="1:9" ht="12.75">
      <c r="A43" s="160" t="s">
        <v>260</v>
      </c>
      <c r="B43" s="161" t="s">
        <v>261</v>
      </c>
      <c r="C43" s="270">
        <f>Plano!C37</f>
        <v>0</v>
      </c>
      <c r="D43" s="270">
        <f>Plano!D37</f>
        <v>0</v>
      </c>
      <c r="E43" s="270">
        <f>Plano!E37</f>
        <v>0</v>
      </c>
      <c r="F43" s="270">
        <f>Plano!F37</f>
        <v>340000</v>
      </c>
      <c r="G43" s="269">
        <v>260000</v>
      </c>
      <c r="H43" s="269">
        <v>280000</v>
      </c>
      <c r="I43" s="269">
        <v>310000</v>
      </c>
    </row>
    <row r="44" spans="1:9" s="46" customFormat="1" ht="29.25" customHeight="1" thickBot="1">
      <c r="A44" s="221"/>
      <c r="B44" s="222" t="s">
        <v>100</v>
      </c>
      <c r="C44" s="223">
        <f>Plano!C39</f>
        <v>28833940.160000004</v>
      </c>
      <c r="D44" s="223">
        <f>Plano!D39</f>
        <v>31898991.51</v>
      </c>
      <c r="E44" s="223">
        <f>Plano!E39</f>
        <v>31266009.310000002</v>
      </c>
      <c r="F44" s="223">
        <f>Plano!F39</f>
        <v>32705000</v>
      </c>
      <c r="G44" s="223">
        <f>G33+G37+G43</f>
        <v>24850000</v>
      </c>
      <c r="H44" s="223">
        <f>H33+H37+H43</f>
        <v>27565000</v>
      </c>
      <c r="I44" s="223">
        <f>I33+I37+I43</f>
        <v>29880000</v>
      </c>
    </row>
    <row r="45" spans="1:10" s="6" customFormat="1" ht="17.25" customHeight="1" hidden="1">
      <c r="A45" s="197">
        <v>50000002</v>
      </c>
      <c r="B45" s="198" t="s">
        <v>42</v>
      </c>
      <c r="C45" s="199"/>
      <c r="D45" s="200"/>
      <c r="E45" s="200"/>
      <c r="F45" s="200"/>
      <c r="G45" s="200"/>
      <c r="H45" s="200"/>
      <c r="I45" s="200"/>
      <c r="J45" s="26"/>
    </row>
    <row r="46" spans="1:10" s="6" customFormat="1" ht="17.25" customHeight="1" hidden="1">
      <c r="A46" s="201"/>
      <c r="B46" s="202" t="s">
        <v>13</v>
      </c>
      <c r="C46" s="203" t="s">
        <v>15</v>
      </c>
      <c r="D46" s="203" t="e">
        <f>IF(#REF!&gt;0,"REALIZADO","PROJETADO")</f>
        <v>#REF!</v>
      </c>
      <c r="E46" s="203" t="e">
        <f>IF(#REF!&gt;0,"REALIZADO","PROJETADO")</f>
        <v>#REF!</v>
      </c>
      <c r="F46" s="203" t="e">
        <f>IF(#REF!&gt;0,"REALIZADO","PROJETADO")</f>
        <v>#REF!</v>
      </c>
      <c r="G46" s="203" t="s">
        <v>20</v>
      </c>
      <c r="H46" s="203"/>
      <c r="I46" s="203" t="s">
        <v>20</v>
      </c>
      <c r="J46" s="27" t="s">
        <v>20</v>
      </c>
    </row>
    <row r="47" spans="1:10" s="6" customFormat="1" ht="17.25" customHeight="1" hidden="1">
      <c r="A47" s="201"/>
      <c r="B47" s="204" t="s">
        <v>12</v>
      </c>
      <c r="C47" s="189">
        <v>1999</v>
      </c>
      <c r="D47" s="189">
        <v>2000</v>
      </c>
      <c r="E47" s="189">
        <v>2001</v>
      </c>
      <c r="F47" s="189">
        <v>2002</v>
      </c>
      <c r="G47" s="189">
        <v>2003</v>
      </c>
      <c r="H47" s="189"/>
      <c r="I47" s="189">
        <v>2004</v>
      </c>
      <c r="J47" s="25">
        <v>2005</v>
      </c>
    </row>
    <row r="48" spans="1:10" s="6" customFormat="1" ht="17.25" customHeight="1" hidden="1">
      <c r="A48" s="201"/>
      <c r="B48" s="205"/>
      <c r="C48" s="206"/>
      <c r="D48" s="206"/>
      <c r="E48" s="206"/>
      <c r="F48" s="206"/>
      <c r="G48" s="206"/>
      <c r="H48" s="206"/>
      <c r="I48" s="206"/>
      <c r="J48" s="28"/>
    </row>
    <row r="49" spans="1:10" s="6" customFormat="1" ht="16.5" hidden="1" thickBot="1">
      <c r="A49" s="201"/>
      <c r="B49" s="205" t="s">
        <v>22</v>
      </c>
      <c r="C49" s="207" t="e">
        <f>C8-#REF!-C12+C53-#REF!</f>
        <v>#REF!</v>
      </c>
      <c r="D49" s="207" t="e">
        <f>D8-#REF!-D12+D53-#REF!</f>
        <v>#REF!</v>
      </c>
      <c r="E49" s="207" t="e">
        <f>E8-#REF!-E12+E53-#REF!</f>
        <v>#REF!</v>
      </c>
      <c r="F49" s="207" t="e">
        <f>F8-#REF!-F12+F53-#REF!</f>
        <v>#REF!</v>
      </c>
      <c r="G49" s="207" t="e">
        <f>G8-#REF!-G12+G53-#REF!</f>
        <v>#REF!</v>
      </c>
      <c r="H49" s="207"/>
      <c r="I49" s="207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1"/>
      <c r="B50" s="205" t="s">
        <v>23</v>
      </c>
      <c r="C50" s="207">
        <f>C9</f>
        <v>31728524.159999996</v>
      </c>
      <c r="D50" s="207">
        <f aca="true" t="shared" si="1" ref="D50:J50">D9</f>
        <v>30624705.759999998</v>
      </c>
      <c r="E50" s="207">
        <f t="shared" si="1"/>
        <v>31048795.56</v>
      </c>
      <c r="F50" s="207">
        <f t="shared" si="1"/>
        <v>37137600</v>
      </c>
      <c r="G50" s="207">
        <f t="shared" si="1"/>
        <v>28164200</v>
      </c>
      <c r="H50" s="207"/>
      <c r="I50" s="207">
        <f t="shared" si="1"/>
        <v>33907400</v>
      </c>
      <c r="J50" s="35">
        <f t="shared" si="1"/>
        <v>0</v>
      </c>
    </row>
    <row r="51" spans="1:10" s="6" customFormat="1" ht="16.5" hidden="1" thickBot="1">
      <c r="A51" s="201"/>
      <c r="B51" s="205" t="s">
        <v>24</v>
      </c>
      <c r="C51" s="207" t="e">
        <f>C15+C16+C18+#REF!+#REF!+#REF!+#REF!</f>
        <v>#REF!</v>
      </c>
      <c r="D51" s="207" t="e">
        <f>D15+D16+D18+#REF!+#REF!+#REF!+#REF!</f>
        <v>#REF!</v>
      </c>
      <c r="E51" s="207" t="e">
        <f>E15+E16+E18+#REF!+#REF!+#REF!+#REF!</f>
        <v>#REF!</v>
      </c>
      <c r="F51" s="207" t="e">
        <f>F15+F16+F18+#REF!+#REF!+#REF!+#REF!</f>
        <v>#REF!</v>
      </c>
      <c r="G51" s="207" t="e">
        <f>G15+G16+G18+#REF!+#REF!+#REF!+#REF!</f>
        <v>#REF!</v>
      </c>
      <c r="H51" s="207"/>
      <c r="I51" s="207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1"/>
      <c r="B52" s="205" t="s">
        <v>25</v>
      </c>
      <c r="C52" s="207" t="e">
        <f>#REF!</f>
        <v>#REF!</v>
      </c>
      <c r="D52" s="207" t="e">
        <f>#REF!</f>
        <v>#REF!</v>
      </c>
      <c r="E52" s="207" t="e">
        <f>#REF!</f>
        <v>#REF!</v>
      </c>
      <c r="F52" s="207" t="e">
        <f>#REF!</f>
        <v>#REF!</v>
      </c>
      <c r="G52" s="207" t="e">
        <f>#REF!</f>
        <v>#REF!</v>
      </c>
      <c r="H52" s="207"/>
      <c r="I52" s="207" t="e">
        <f>#REF!</f>
        <v>#REF!</v>
      </c>
      <c r="J52" s="35" t="e">
        <f>#REF!</f>
        <v>#REF!</v>
      </c>
    </row>
    <row r="53" spans="1:10" s="6" customFormat="1" ht="16.5" hidden="1" thickBot="1">
      <c r="A53" s="201"/>
      <c r="B53" s="205" t="s">
        <v>26</v>
      </c>
      <c r="C53" s="207" t="e">
        <f>#REF!-#REF!</f>
        <v>#REF!</v>
      </c>
      <c r="D53" s="207" t="e">
        <f>#REF!-#REF!</f>
        <v>#REF!</v>
      </c>
      <c r="E53" s="207" t="e">
        <f>#REF!-#REF!</f>
        <v>#REF!</v>
      </c>
      <c r="F53" s="207" t="e">
        <f>#REF!-#REF!</f>
        <v>#REF!</v>
      </c>
      <c r="G53" s="207" t="e">
        <f>#REF!-#REF!</f>
        <v>#REF!</v>
      </c>
      <c r="H53" s="207"/>
      <c r="I53" s="207" t="e">
        <f>#REF!-#REF!</f>
        <v>#REF!</v>
      </c>
      <c r="J53" s="35" t="e">
        <f>#REF!-#REF!</f>
        <v>#REF!</v>
      </c>
    </row>
    <row r="54" spans="1:10" s="6" customFormat="1" ht="16.5" hidden="1" thickBot="1">
      <c r="A54" s="201"/>
      <c r="B54" s="205" t="s">
        <v>27</v>
      </c>
      <c r="C54" s="207" t="e">
        <f>#REF!</f>
        <v>#REF!</v>
      </c>
      <c r="D54" s="207" t="e">
        <f>#REF!</f>
        <v>#REF!</v>
      </c>
      <c r="E54" s="207" t="e">
        <f>#REF!</f>
        <v>#REF!</v>
      </c>
      <c r="F54" s="207" t="e">
        <f>#REF!</f>
        <v>#REF!</v>
      </c>
      <c r="G54" s="207" t="e">
        <f>#REF!</f>
        <v>#REF!</v>
      </c>
      <c r="H54" s="207"/>
      <c r="I54" s="207" t="e">
        <f>#REF!</f>
        <v>#REF!</v>
      </c>
      <c r="J54" s="35" t="e">
        <f>#REF!</f>
        <v>#REF!</v>
      </c>
    </row>
    <row r="55" spans="1:10" s="6" customFormat="1" ht="16.5" hidden="1" thickBot="1">
      <c r="A55" s="201"/>
      <c r="B55" s="205" t="s">
        <v>28</v>
      </c>
      <c r="C55" s="207" t="e">
        <f>#REF!</f>
        <v>#REF!</v>
      </c>
      <c r="D55" s="207" t="e">
        <f>#REF!</f>
        <v>#REF!</v>
      </c>
      <c r="E55" s="207" t="e">
        <f>#REF!</f>
        <v>#REF!</v>
      </c>
      <c r="F55" s="207" t="e">
        <f>#REF!</f>
        <v>#REF!</v>
      </c>
      <c r="G55" s="207" t="e">
        <f>#REF!</f>
        <v>#REF!</v>
      </c>
      <c r="H55" s="207"/>
      <c r="I55" s="207" t="e">
        <f>#REF!</f>
        <v>#REF!</v>
      </c>
      <c r="J55" s="35" t="e">
        <f>#REF!</f>
        <v>#REF!</v>
      </c>
    </row>
    <row r="56" spans="1:10" s="6" customFormat="1" ht="16.5" hidden="1" thickBot="1">
      <c r="A56" s="201"/>
      <c r="B56" s="205" t="s">
        <v>29</v>
      </c>
      <c r="C56" s="207" t="e">
        <f>#REF!</f>
        <v>#REF!</v>
      </c>
      <c r="D56" s="207" t="e">
        <f>#REF!</f>
        <v>#REF!</v>
      </c>
      <c r="E56" s="207" t="e">
        <f>#REF!</f>
        <v>#REF!</v>
      </c>
      <c r="F56" s="207" t="e">
        <f>#REF!</f>
        <v>#REF!</v>
      </c>
      <c r="G56" s="207" t="e">
        <f>#REF!</f>
        <v>#REF!</v>
      </c>
      <c r="H56" s="207"/>
      <c r="I56" s="207" t="e">
        <f>#REF!</f>
        <v>#REF!</v>
      </c>
      <c r="J56" s="35" t="e">
        <f>#REF!</f>
        <v>#REF!</v>
      </c>
    </row>
    <row r="57" spans="1:10" s="6" customFormat="1" ht="16.5" hidden="1" thickBot="1">
      <c r="A57" s="201"/>
      <c r="B57" s="205" t="s">
        <v>30</v>
      </c>
      <c r="C57" s="207">
        <f>C24</f>
        <v>1867673.52</v>
      </c>
      <c r="D57" s="207">
        <f aca="true" t="shared" si="2" ref="D57:J57">D24</f>
        <v>3659154.46</v>
      </c>
      <c r="E57" s="207">
        <f t="shared" si="2"/>
        <v>2147108.99</v>
      </c>
      <c r="F57" s="207">
        <f t="shared" si="2"/>
        <v>0</v>
      </c>
      <c r="G57" s="207">
        <f t="shared" si="2"/>
        <v>0</v>
      </c>
      <c r="H57" s="207"/>
      <c r="I57" s="207">
        <f t="shared" si="2"/>
        <v>0</v>
      </c>
      <c r="J57" s="35">
        <f t="shared" si="2"/>
        <v>0</v>
      </c>
    </row>
    <row r="58" spans="1:10" s="6" customFormat="1" ht="16.5" hidden="1" thickBot="1">
      <c r="A58" s="201"/>
      <c r="B58" s="205" t="s">
        <v>31</v>
      </c>
      <c r="C58" s="207" t="e">
        <f>#REF!+#REF!+C40+C41+C42+#REF!+C43+C44+C35+#REF!</f>
        <v>#REF!</v>
      </c>
      <c r="D58" s="207" t="e">
        <f>#REF!+#REF!+D40+D41+D42+#REF!+D43+D44+D35+#REF!</f>
        <v>#REF!</v>
      </c>
      <c r="E58" s="207" t="e">
        <f>#REF!+#REF!+E40+E41+E42+#REF!+E43+E44+E35+#REF!</f>
        <v>#REF!</v>
      </c>
      <c r="F58" s="207" t="e">
        <f>#REF!+#REF!+F40+F41+F42+#REF!+F43+F44+F35+#REF!</f>
        <v>#REF!</v>
      </c>
      <c r="G58" s="207" t="e">
        <f>#REF!+#REF!+G40+G41+G42+#REF!+G43+G44+G35+#REF!</f>
        <v>#REF!</v>
      </c>
      <c r="H58" s="207"/>
      <c r="I58" s="207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1"/>
      <c r="B59" s="205" t="s">
        <v>32</v>
      </c>
      <c r="C59" s="207" t="e">
        <f>#REF!+#REF!</f>
        <v>#REF!</v>
      </c>
      <c r="D59" s="207" t="e">
        <f>#REF!+#REF!</f>
        <v>#REF!</v>
      </c>
      <c r="E59" s="207" t="e">
        <f>#REF!+#REF!</f>
        <v>#REF!</v>
      </c>
      <c r="F59" s="207" t="e">
        <f>#REF!+#REF!</f>
        <v>#REF!</v>
      </c>
      <c r="G59" s="207" t="e">
        <f>#REF!+#REF!</f>
        <v>#REF!</v>
      </c>
      <c r="H59" s="207"/>
      <c r="I59" s="207" t="e">
        <f>#REF!+#REF!</f>
        <v>#REF!</v>
      </c>
      <c r="J59" s="35" t="e">
        <f>#REF!+#REF!</f>
        <v>#REF!</v>
      </c>
    </row>
    <row r="60" spans="1:10" s="6" customFormat="1" ht="16.5" hidden="1" thickBot="1">
      <c r="A60" s="201"/>
      <c r="B60" s="205" t="s">
        <v>33</v>
      </c>
      <c r="C60" s="207">
        <f>C38+C39</f>
        <v>2698450.48</v>
      </c>
      <c r="D60" s="207">
        <f>D38+D39</f>
        <v>4744236.48</v>
      </c>
      <c r="E60" s="207">
        <f>E38+E39</f>
        <v>2609161.66</v>
      </c>
      <c r="F60" s="207">
        <f>F38+F39</f>
        <v>1072672</v>
      </c>
      <c r="G60" s="207">
        <f>G38+G39</f>
        <v>1127530</v>
      </c>
      <c r="H60" s="207"/>
      <c r="I60" s="207">
        <f>I38+I39</f>
        <v>955310</v>
      </c>
      <c r="J60" s="35">
        <f>J38+J39</f>
        <v>0</v>
      </c>
    </row>
    <row r="61" spans="1:10" s="6" customFormat="1" ht="16.5" hidden="1" thickBot="1">
      <c r="A61" s="201"/>
      <c r="B61" s="205" t="s">
        <v>34</v>
      </c>
      <c r="C61" s="207" t="e">
        <f>#REF!</f>
        <v>#REF!</v>
      </c>
      <c r="D61" s="207" t="e">
        <f>#REF!</f>
        <v>#REF!</v>
      </c>
      <c r="E61" s="207" t="e">
        <f>#REF!</f>
        <v>#REF!</v>
      </c>
      <c r="F61" s="207" t="e">
        <f>#REF!</f>
        <v>#REF!</v>
      </c>
      <c r="G61" s="207" t="e">
        <f>#REF!</f>
        <v>#REF!</v>
      </c>
      <c r="H61" s="207"/>
      <c r="I61" s="207" t="e">
        <f>#REF!</f>
        <v>#REF!</v>
      </c>
      <c r="J61" s="35" t="e">
        <f>#REF!</f>
        <v>#REF!</v>
      </c>
    </row>
    <row r="62" spans="1:10" s="6" customFormat="1" ht="16.5" hidden="1" thickBot="1">
      <c r="A62" s="201"/>
      <c r="B62" s="205" t="s">
        <v>35</v>
      </c>
      <c r="C62" s="207" t="e">
        <f>C36+#REF!+#REF!+#REF!+#REF!+#REF!+#REF!</f>
        <v>#REF!</v>
      </c>
      <c r="D62" s="207" t="e">
        <f>D36+#REF!+#REF!+#REF!+#REF!+#REF!+#REF!</f>
        <v>#REF!</v>
      </c>
      <c r="E62" s="207" t="e">
        <f>E36+#REF!+#REF!+#REF!+#REF!+#REF!+#REF!</f>
        <v>#REF!</v>
      </c>
      <c r="F62" s="207" t="e">
        <f>F36+#REF!+#REF!+#REF!+#REF!+#REF!+#REF!</f>
        <v>#REF!</v>
      </c>
      <c r="G62" s="207" t="e">
        <f>G36+#REF!+#REF!+#REF!+#REF!+#REF!+#REF!</f>
        <v>#REF!</v>
      </c>
      <c r="H62" s="207"/>
      <c r="I62" s="207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1"/>
      <c r="B63" s="205" t="s">
        <v>41</v>
      </c>
      <c r="C63" s="207" t="e">
        <f>#REF!</f>
        <v>#REF!</v>
      </c>
      <c r="D63" s="207" t="e">
        <f>#REF!</f>
        <v>#REF!</v>
      </c>
      <c r="E63" s="207" t="e">
        <f>#REF!</f>
        <v>#REF!</v>
      </c>
      <c r="F63" s="207" t="e">
        <f>#REF!</f>
        <v>#REF!</v>
      </c>
      <c r="G63" s="207" t="e">
        <f>#REF!</f>
        <v>#REF!</v>
      </c>
      <c r="H63" s="207"/>
      <c r="I63" s="207" t="e">
        <f>#REF!</f>
        <v>#REF!</v>
      </c>
      <c r="J63" s="35" t="e">
        <f>#REF!</f>
        <v>#REF!</v>
      </c>
    </row>
    <row r="64" spans="1:10" s="6" customFormat="1" ht="16.5" hidden="1" thickBot="1">
      <c r="A64" s="201"/>
      <c r="B64" s="205" t="s">
        <v>36</v>
      </c>
      <c r="C64" s="207" t="e">
        <f>#REF!+#REF!</f>
        <v>#REF!</v>
      </c>
      <c r="D64" s="207" t="e">
        <f>#REF!+#REF!</f>
        <v>#REF!</v>
      </c>
      <c r="E64" s="207" t="e">
        <f>#REF!+#REF!</f>
        <v>#REF!</v>
      </c>
      <c r="F64" s="207" t="e">
        <f>#REF!+#REF!</f>
        <v>#REF!</v>
      </c>
      <c r="G64" s="207" t="e">
        <f>#REF!+#REF!</f>
        <v>#REF!</v>
      </c>
      <c r="H64" s="207"/>
      <c r="I64" s="207" t="e">
        <f>#REF!+#REF!</f>
        <v>#REF!</v>
      </c>
      <c r="J64" s="35" t="e">
        <f>#REF!+#REF!</f>
        <v>#REF!</v>
      </c>
    </row>
    <row r="65" spans="1:10" s="6" customFormat="1" ht="16.5" hidden="1" thickBot="1">
      <c r="A65" s="201"/>
      <c r="B65" s="205" t="s">
        <v>37</v>
      </c>
      <c r="C65" s="207" t="e">
        <f>#REF!+#REF!</f>
        <v>#REF!</v>
      </c>
      <c r="D65" s="207" t="e">
        <f>#REF!+#REF!</f>
        <v>#REF!</v>
      </c>
      <c r="E65" s="207" t="e">
        <f>#REF!+#REF!</f>
        <v>#REF!</v>
      </c>
      <c r="F65" s="207" t="e">
        <f>#REF!+#REF!</f>
        <v>#REF!</v>
      </c>
      <c r="G65" s="207" t="e">
        <f>#REF!+#REF!</f>
        <v>#REF!</v>
      </c>
      <c r="H65" s="207"/>
      <c r="I65" s="207" t="e">
        <f>#REF!+#REF!</f>
        <v>#REF!</v>
      </c>
      <c r="J65" s="35" t="e">
        <f>#REF!+#REF!</f>
        <v>#REF!</v>
      </c>
    </row>
    <row r="66" spans="1:10" s="6" customFormat="1" ht="16.5" hidden="1" thickBot="1">
      <c r="A66" s="201"/>
      <c r="B66" s="205" t="s">
        <v>38</v>
      </c>
      <c r="C66" s="207" t="e">
        <f>C64+C65</f>
        <v>#REF!</v>
      </c>
      <c r="D66" s="207" t="e">
        <f aca="true" t="shared" si="3" ref="D66:J66">D64+D65</f>
        <v>#REF!</v>
      </c>
      <c r="E66" s="207" t="e">
        <f t="shared" si="3"/>
        <v>#REF!</v>
      </c>
      <c r="F66" s="207" t="e">
        <f t="shared" si="3"/>
        <v>#REF!</v>
      </c>
      <c r="G66" s="207" t="e">
        <f t="shared" si="3"/>
        <v>#REF!</v>
      </c>
      <c r="H66" s="207"/>
      <c r="I66" s="207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1"/>
      <c r="B67" s="205" t="s">
        <v>39</v>
      </c>
      <c r="C67" s="207" t="e">
        <f>((C8+C22)-(C51)-((#REF!+#REF!)-C66))</f>
        <v>#REF!</v>
      </c>
      <c r="D67" s="207" t="e">
        <f>((D8+D22)-(D51)-((#REF!+#REF!)-D66))</f>
        <v>#REF!</v>
      </c>
      <c r="E67" s="207" t="e">
        <f>((E8+E22)-(E51)-((#REF!+#REF!)-E66))</f>
        <v>#REF!</v>
      </c>
      <c r="F67" s="207" t="e">
        <f>((F8+F22)-(F51)-((#REF!+#REF!)-F66))</f>
        <v>#REF!</v>
      </c>
      <c r="G67" s="207" t="e">
        <f>((G8+G22)-(G51)-((#REF!+#REF!)-G66))</f>
        <v>#REF!</v>
      </c>
      <c r="H67" s="207"/>
      <c r="I67" s="207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1"/>
      <c r="B68" s="208" t="s">
        <v>40</v>
      </c>
      <c r="C68" s="209" t="e">
        <f>-(C67-(C64-C15-C16-C18-#REF!))</f>
        <v>#REF!</v>
      </c>
      <c r="D68" s="209" t="e">
        <f>-(D67-(D64-D15-D16-D18-#REF!))</f>
        <v>#REF!</v>
      </c>
      <c r="E68" s="209" t="e">
        <f>-(E67-(E64-E15-E16-E18-#REF!))</f>
        <v>#REF!</v>
      </c>
      <c r="F68" s="209" t="e">
        <f>-(F67-(F64-F15-F16-F18-#REF!))</f>
        <v>#REF!</v>
      </c>
      <c r="G68" s="209" t="e">
        <f>-(G67-(G64-G15-G16-G18-#REF!))</f>
        <v>#REF!</v>
      </c>
      <c r="H68" s="209"/>
      <c r="I68" s="209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1"/>
      <c r="B69" s="210"/>
      <c r="C69" s="210"/>
      <c r="D69" s="210"/>
      <c r="E69" s="210"/>
      <c r="F69" s="210"/>
      <c r="G69" s="210"/>
      <c r="H69" s="210"/>
      <c r="I69" s="210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B15" sqref="B15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2018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2014</v>
      </c>
      <c r="C12" s="55">
        <f>DADOS!$E$32-3</f>
        <v>2015</v>
      </c>
      <c r="D12" s="55">
        <f>DADOS!$E$32-2</f>
        <v>2016</v>
      </c>
      <c r="E12" s="55">
        <f>DADOS!$E$32-1</f>
        <v>2017</v>
      </c>
      <c r="F12" s="55">
        <f>DADOS!$E$32</f>
        <v>2018</v>
      </c>
      <c r="G12" s="55">
        <f>DADOS!$E$32+1</f>
        <v>2019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262</v>
      </c>
      <c r="B14" s="282">
        <v>0.059</v>
      </c>
      <c r="C14" s="283">
        <v>0.0431</v>
      </c>
      <c r="D14" s="283">
        <v>0.0591</v>
      </c>
      <c r="E14" s="284">
        <v>0.0537</v>
      </c>
      <c r="F14" s="284">
        <v>0.052</v>
      </c>
      <c r="G14" s="284">
        <v>0.0549</v>
      </c>
    </row>
    <row r="15" spans="1:7" ht="15.75">
      <c r="A15" s="56" t="s">
        <v>263</v>
      </c>
      <c r="B15" s="285">
        <v>0.052</v>
      </c>
      <c r="C15" s="286">
        <v>-0.006</v>
      </c>
      <c r="D15" s="286">
        <v>0.075</v>
      </c>
      <c r="E15" s="284">
        <v>0.0403</v>
      </c>
      <c r="F15" s="284">
        <v>0.0364</v>
      </c>
      <c r="G15" s="284">
        <v>0.0506</v>
      </c>
    </row>
    <row r="16" spans="1:7" ht="15.75">
      <c r="A16" s="59" t="s">
        <v>264</v>
      </c>
      <c r="B16" s="287">
        <f>((Projeções!D34/Projeções!C34)-1)-B14</f>
        <v>0.04367563120437973</v>
      </c>
      <c r="C16" s="287">
        <f>((Projeções!E34/Projeções!D34)-1)-C14</f>
        <v>0.016209518143998652</v>
      </c>
      <c r="D16" s="287">
        <v>-0.0188</v>
      </c>
      <c r="E16" s="284">
        <v>-0.0177</v>
      </c>
      <c r="F16" s="284">
        <v>-0.0384</v>
      </c>
      <c r="G16" s="284">
        <f>(D16+E16+F16)/3</f>
        <v>-0.024966666666666665</v>
      </c>
    </row>
    <row r="17" spans="1:7" ht="15.75">
      <c r="A17" s="58" t="s">
        <v>265</v>
      </c>
      <c r="B17" s="287">
        <f>((Projeções!D36/Projeções!C36)-1)-B14-B15</f>
        <v>-0.12865099417457837</v>
      </c>
      <c r="C17" s="287">
        <f>((Projeções!E36/Projeções!D36)-1)-C14-C15</f>
        <v>0.018596037524333607</v>
      </c>
      <c r="D17" s="287">
        <v>-0.1226</v>
      </c>
      <c r="E17" s="284">
        <v>0.05</v>
      </c>
      <c r="F17" s="284">
        <v>0.05</v>
      </c>
      <c r="G17" s="284">
        <v>0.05</v>
      </c>
    </row>
    <row r="18" spans="1:7" ht="15.75">
      <c r="A18" s="58" t="s">
        <v>266</v>
      </c>
      <c r="B18" s="287">
        <f>((Projeções!D10/Projeções!C10)-1)-B14-B15</f>
        <v>-0.05056711458407715</v>
      </c>
      <c r="C18" s="287">
        <f>((Projeções!E10/Projeções!D10)-1)-C14-C15</f>
        <v>0.06068447808528701</v>
      </c>
      <c r="D18" s="287">
        <f>((Projeções!F10/Projeções!E10)-1)-D14-D15</f>
        <v>-0.16930708109725623</v>
      </c>
      <c r="E18" s="284">
        <f>(B18+C18+D18)/3</f>
        <v>-0.05306323919868213</v>
      </c>
      <c r="F18" s="284">
        <v>0.0827</v>
      </c>
      <c r="G18" s="284">
        <v>0.1225</v>
      </c>
    </row>
    <row r="19" spans="1:7" ht="15.75">
      <c r="A19" s="58" t="s">
        <v>267</v>
      </c>
      <c r="B19" s="287">
        <f>((Projeções!D18/Projeções!C18)-1)-B14-B15</f>
        <v>-0.08782100039043517</v>
      </c>
      <c r="C19" s="287">
        <f>((Projeções!E18/Projeções!D18)-1)-C14-C15</f>
        <v>-0.02748937118922177</v>
      </c>
      <c r="D19" s="287">
        <v>0.1533</v>
      </c>
      <c r="E19" s="284">
        <v>0.05</v>
      </c>
      <c r="F19" s="284">
        <v>0.05</v>
      </c>
      <c r="G19" s="284">
        <v>0.05</v>
      </c>
    </row>
    <row r="20" spans="1:7" ht="15.75">
      <c r="A20" s="56" t="s">
        <v>268</v>
      </c>
      <c r="B20" s="280"/>
      <c r="C20" s="281"/>
      <c r="D20" s="281"/>
      <c r="E20" s="57">
        <v>0.0677</v>
      </c>
      <c r="F20" s="57">
        <v>0.07</v>
      </c>
      <c r="G20" s="57">
        <v>0.07</v>
      </c>
    </row>
    <row r="21" spans="1:7" ht="15.75">
      <c r="A21" s="60" t="s">
        <v>269</v>
      </c>
      <c r="B21" s="287">
        <f>((Projeções!D38/Projeções!C38)-1)-B14-B15</f>
        <v>0.6471336085885855</v>
      </c>
      <c r="C21" s="287">
        <f>((Projeções!E38/Projeções!D38)-1)-C14-C15</f>
        <v>-0.4871354965442195</v>
      </c>
      <c r="D21" s="287">
        <v>-0.083</v>
      </c>
      <c r="E21" s="284">
        <f>(B21+C21+D21)/3</f>
        <v>0.025666037348121992</v>
      </c>
      <c r="F21" s="284">
        <f>(C21+D21+E21)/3</f>
        <v>-0.1814898197320325</v>
      </c>
      <c r="G21" s="284">
        <f>(D21+E21+F21)/3</f>
        <v>-0.0796079274613035</v>
      </c>
    </row>
    <row r="22" spans="1:7" ht="15.75">
      <c r="A22" s="60" t="s">
        <v>215</v>
      </c>
      <c r="B22" s="268"/>
      <c r="C22" s="290">
        <v>152714000</v>
      </c>
      <c r="D22" s="291">
        <v>180819000</v>
      </c>
      <c r="E22" s="291">
        <v>182520000</v>
      </c>
      <c r="F22" s="291">
        <v>197483000</v>
      </c>
      <c r="G22" s="291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79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zoomScalePageLayoutView="0" workbookViewId="0" topLeftCell="A1">
      <selection activeCell="I14" sqref="I14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0" t="str">
        <f>DADOS!A3</f>
        <v>MUNICIPIO DE QUILOMBO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ht="12.75">
      <c r="A2" s="353" t="s">
        <v>48</v>
      </c>
      <c r="B2" s="351"/>
      <c r="C2" s="351"/>
      <c r="D2" s="351"/>
      <c r="E2" s="351"/>
      <c r="F2" s="351"/>
      <c r="G2" s="351"/>
      <c r="H2" s="351"/>
      <c r="I2" s="351"/>
      <c r="J2" s="352"/>
    </row>
    <row r="3" spans="1:10" ht="12.75">
      <c r="A3" s="353" t="s">
        <v>228</v>
      </c>
      <c r="B3" s="351"/>
      <c r="C3" s="351"/>
      <c r="D3" s="351"/>
      <c r="E3" s="351"/>
      <c r="F3" s="351"/>
      <c r="G3" s="351"/>
      <c r="H3" s="351"/>
      <c r="I3" s="351"/>
      <c r="J3" s="352"/>
    </row>
    <row r="4" spans="1:10" ht="12.75">
      <c r="A4" s="354" t="s">
        <v>229</v>
      </c>
      <c r="B4" s="355"/>
      <c r="C4" s="355"/>
      <c r="D4" s="355"/>
      <c r="E4" s="355"/>
      <c r="F4" s="355"/>
      <c r="G4" s="355"/>
      <c r="H4" s="355"/>
      <c r="I4" s="355"/>
      <c r="J4" s="356"/>
    </row>
    <row r="5" spans="1:10" ht="12.75">
      <c r="A5" s="353" t="str">
        <f>DADOS!A17</f>
        <v>Exercício de 2018</v>
      </c>
      <c r="B5" s="351"/>
      <c r="C5" s="351"/>
      <c r="D5" s="351"/>
      <c r="E5" s="351"/>
      <c r="F5" s="351"/>
      <c r="G5" s="351"/>
      <c r="H5" s="351"/>
      <c r="I5" s="351"/>
      <c r="J5" s="352"/>
    </row>
    <row r="6" spans="1:10" ht="12.75">
      <c r="A6" s="353"/>
      <c r="B6" s="351"/>
      <c r="C6" s="351"/>
      <c r="D6" s="351"/>
      <c r="E6" s="351"/>
      <c r="F6" s="351"/>
      <c r="G6" s="351"/>
      <c r="H6" s="351"/>
      <c r="I6" s="351"/>
      <c r="J6" s="352"/>
    </row>
    <row r="7" spans="1:10" ht="15.75">
      <c r="A7" s="64" t="s">
        <v>104</v>
      </c>
      <c r="B7" s="358"/>
      <c r="C7" s="358"/>
      <c r="D7" s="358"/>
      <c r="E7" s="358"/>
      <c r="F7" s="358"/>
      <c r="G7" s="358"/>
      <c r="H7" s="359">
        <v>1</v>
      </c>
      <c r="I7" s="360"/>
      <c r="J7" s="360"/>
    </row>
    <row r="8" spans="1:10" s="67" customFormat="1" ht="12.75">
      <c r="A8" s="361" t="s">
        <v>105</v>
      </c>
      <c r="B8" s="364">
        <f>DADOS!E32</f>
        <v>2018</v>
      </c>
      <c r="C8" s="365"/>
      <c r="D8" s="366"/>
      <c r="E8" s="364">
        <f>B8+1</f>
        <v>2019</v>
      </c>
      <c r="F8" s="365"/>
      <c r="G8" s="366"/>
      <c r="H8" s="364">
        <f>B8+2</f>
        <v>2020</v>
      </c>
      <c r="I8" s="365"/>
      <c r="J8" s="365"/>
    </row>
    <row r="9" spans="1:10" ht="15.75" customHeight="1">
      <c r="A9" s="362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62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63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46">
        <f>Projeções!G28</f>
        <v>24850000</v>
      </c>
      <c r="C12" s="246">
        <f>B12/(1+Parâmetros!E14)</f>
        <v>23583562.683875863</v>
      </c>
      <c r="D12" s="247">
        <f>B12/(Parâmetros!E22)/1000</f>
        <v>0.00013614946307254</v>
      </c>
      <c r="E12" s="246">
        <f>Projeções!H28</f>
        <v>27565000</v>
      </c>
      <c r="F12" s="246">
        <f>E12/((1+Parâmetros!E14)*(1+Parâmetros!F14))</f>
        <v>24867107.794333998</v>
      </c>
      <c r="G12" s="247">
        <f>E12/(Parâmetros!F22)/1000</f>
        <v>0.00013958163487490062</v>
      </c>
      <c r="H12" s="246">
        <f>Projeções!I28</f>
        <v>29880000</v>
      </c>
      <c r="I12" s="246">
        <f>H12/((1+Parâmetros!E14)*(1+Parâmetros!F14)*(1+Parâmetros!G14))</f>
        <v>25552687.336260516</v>
      </c>
      <c r="J12" s="247">
        <f>H12/(Parâmetros!G22)/1000</f>
        <v>0.0001358490566037736</v>
      </c>
    </row>
    <row r="13" spans="1:10" ht="15.75">
      <c r="A13" s="79" t="s">
        <v>230</v>
      </c>
      <c r="B13" s="246">
        <f>B12-(Projeções!G13+Projeções!G21+Projeções!G22+Projeções!G23)</f>
        <v>24430680</v>
      </c>
      <c r="C13" s="246">
        <f>B13/(1+Parâmetros!E14)</f>
        <v>23185612.60320774</v>
      </c>
      <c r="D13" s="247">
        <f>B13/(Parâmetros!E22)/1000</f>
        <v>0.00013385207100591716</v>
      </c>
      <c r="E13" s="246">
        <f>E12-(Projeções!H13+Projeções!H21+Projeções!H22+Projeções!H23)</f>
        <v>27167500</v>
      </c>
      <c r="F13" s="246">
        <f>E13/((1+Parâmetros!E14)*(1+Parâmetros!F14))</f>
        <v>24508512.64293738</v>
      </c>
      <c r="G13" s="247">
        <f>E13/(Parâmetros!F22)/1000</f>
        <v>0.00013756880339067158</v>
      </c>
      <c r="H13" s="246">
        <f>H12-(Projeções!I13+Projeções!I21+Projeções!I22+Projeções!I23)</f>
        <v>29478940</v>
      </c>
      <c r="I13" s="246">
        <f>H13/((1+Parâmetros!E14)*(1+Parâmetros!F14)*(1+Parâmetros!G14))</f>
        <v>25209710.067750454</v>
      </c>
      <c r="J13" s="247">
        <f>H13/(Parâmetros!G22)/1000</f>
        <v>0.00013402564219140714</v>
      </c>
    </row>
    <row r="14" spans="1:10" ht="15.75">
      <c r="A14" s="79" t="s">
        <v>118</v>
      </c>
      <c r="B14" s="246">
        <f>Projeções!G44</f>
        <v>24850000</v>
      </c>
      <c r="C14" s="246">
        <f>B14/(1+Parâmetros!E14)</f>
        <v>23583562.683875863</v>
      </c>
      <c r="D14" s="247">
        <f>B14/(Parâmetros!E22)/1000</f>
        <v>0.00013614946307254</v>
      </c>
      <c r="E14" s="246">
        <f>Projeções!H44</f>
        <v>27565000</v>
      </c>
      <c r="F14" s="246">
        <f>E14/((1+Parâmetros!E14)*(1+Parâmetros!F14))</f>
        <v>24867107.794333998</v>
      </c>
      <c r="G14" s="247">
        <f>E14/(Parâmetros!F22)/1000</f>
        <v>0.00013958163487490062</v>
      </c>
      <c r="H14" s="246">
        <f>Projeções!I44</f>
        <v>29880000</v>
      </c>
      <c r="I14" s="246">
        <f>H14/((1+Parâmetros!E14)*(1+Parâmetros!F14)*(1+Parâmetros!G14))</f>
        <v>25552687.336260516</v>
      </c>
      <c r="J14" s="247">
        <f>H14/(Parâmetros!G22)/1000</f>
        <v>0.0001358490566037736</v>
      </c>
    </row>
    <row r="15" spans="1:10" ht="15.75">
      <c r="A15" s="79" t="s">
        <v>231</v>
      </c>
      <c r="B15" s="246">
        <f>B14-(Projeções!G35+Projeções!G41+Projeções!G42)</f>
        <v>24301000</v>
      </c>
      <c r="C15" s="246">
        <f>B15/(1+Parâmetros!E14)</f>
        <v>23062541.520356838</v>
      </c>
      <c r="D15" s="247">
        <f>B15/(Parâmetros!E22)/1000</f>
        <v>0.00013314157352618892</v>
      </c>
      <c r="E15" s="246">
        <f>E14-(Projeções!H35+Projeções!H41+Projeções!H42)</f>
        <v>27055000</v>
      </c>
      <c r="F15" s="246">
        <f>E15/((1+Parâmetros!E14)*(1+Parâmetros!F14))</f>
        <v>24407023.449145883</v>
      </c>
      <c r="G15" s="247">
        <f>E15/(Parâmetros!F22)/1000</f>
        <v>0.00013699913410268225</v>
      </c>
      <c r="H15" s="246">
        <f>H14-(Projeções!I35+Projeções!I41+Projeções!I42)</f>
        <v>29382000</v>
      </c>
      <c r="I15" s="246">
        <f>H15/((1+Parâmetros!E14)*(1+Parâmetros!F14)*(1+Parâmetros!G14))</f>
        <v>25126809.213989507</v>
      </c>
      <c r="J15" s="247">
        <f>H15/(Parâmetros!G22)/1000</f>
        <v>0.00013358490566037735</v>
      </c>
    </row>
    <row r="16" spans="1:10" ht="15.75">
      <c r="A16" s="79" t="s">
        <v>119</v>
      </c>
      <c r="B16" s="246">
        <f>B13-B15</f>
        <v>129680</v>
      </c>
      <c r="C16" s="246">
        <f>C13-C15</f>
        <v>123071.08285090327</v>
      </c>
      <c r="D16" s="247">
        <f>B16/(Parâmetros!E22)/1000</f>
        <v>7.104974797282489E-07</v>
      </c>
      <c r="E16" s="246">
        <f>E13-E15</f>
        <v>112500</v>
      </c>
      <c r="F16" s="246">
        <f>F13-F15</f>
        <v>101489.1937914975</v>
      </c>
      <c r="G16" s="247">
        <f>E16/(Parâmetros!F22)/1000</f>
        <v>5.696692879893459E-07</v>
      </c>
      <c r="H16" s="246">
        <f>H13-H15</f>
        <v>96940</v>
      </c>
      <c r="I16" s="246">
        <f>I13-I15</f>
        <v>82900.85376094654</v>
      </c>
      <c r="J16" s="247">
        <f>H16/(Parâmetros!G22)/1000</f>
        <v>4.407365310297795E-07</v>
      </c>
    </row>
    <row r="17" spans="1:10" ht="15.75">
      <c r="A17" s="79" t="s">
        <v>120</v>
      </c>
      <c r="B17" s="246">
        <f>Dívida!F10</f>
        <v>-719000.0000000009</v>
      </c>
      <c r="C17" s="246">
        <f>B17/(1+Parâmetros!E14)</f>
        <v>-682357.4072316607</v>
      </c>
      <c r="D17" s="247">
        <f>B17/(Parâmetros!E22)/1000</f>
        <v>-3.939294323909714E-06</v>
      </c>
      <c r="E17" s="246">
        <f>Dívida!G10</f>
        <v>-750000</v>
      </c>
      <c r="F17" s="246">
        <f>E17/((1+Parâmetros!E14)*(1+Parâmetros!F14))</f>
        <v>-676594.6252766369</v>
      </c>
      <c r="G17" s="247">
        <f>E17/(Parâmetros!F22)/1000</f>
        <v>-3.797795253262306E-06</v>
      </c>
      <c r="H17" s="246">
        <f>Dívida!H10</f>
        <v>-798000</v>
      </c>
      <c r="I17" s="246">
        <f>H17/((1+Parâmetros!E14)*(1+Parâmetros!F14)*(1+Parâmetros!G14))</f>
        <v>-682431.2079764354</v>
      </c>
      <c r="J17" s="247">
        <f>H17/(Parâmetros!G22)/1000</f>
        <v>-3.6280972948397364E-06</v>
      </c>
    </row>
    <row r="18" spans="1:10" ht="15.75">
      <c r="A18" s="79" t="s">
        <v>121</v>
      </c>
      <c r="B18" s="246">
        <f>Dívida!F7</f>
        <v>-423561.66000000003</v>
      </c>
      <c r="C18" s="246">
        <f>B18/(1+Parâmetros!E14)</f>
        <v>-401975.57179462846</v>
      </c>
      <c r="D18" s="247">
        <f>B18/(Parâmetros!E22)/1000</f>
        <v>-2.320631492439185E-06</v>
      </c>
      <c r="E18" s="246">
        <f>Dívida!G7</f>
        <v>-893561.66</v>
      </c>
      <c r="F18" s="246">
        <f>E18/((1+Parâmetros!E14)*(1+Parâmetros!F14))</f>
        <v>-806105.355345693</v>
      </c>
      <c r="G18" s="247">
        <f>E18/(Parâmetros!F22)/1000</f>
        <v>-4.524752307793582E-06</v>
      </c>
      <c r="H18" s="246">
        <f>Dívida!H7</f>
        <v>-1381561.6600000001</v>
      </c>
      <c r="I18" s="246">
        <f>H18/((1+Parâmetros!E14)*(1+Parâmetros!F14)*(1+Parâmetros!G14))</f>
        <v>-1181479.6898843728</v>
      </c>
      <c r="J18" s="247">
        <f>H18/(Parâmetros!G22)/1000</f>
        <v>-6.281253284837464E-06</v>
      </c>
    </row>
    <row r="19" spans="1:10" ht="15.75">
      <c r="A19" s="80" t="s">
        <v>122</v>
      </c>
      <c r="B19" s="246">
        <f>Dívida!F9</f>
        <v>-5002872.550000001</v>
      </c>
      <c r="C19" s="246">
        <f>B19/(1+Parâmetros!E14)</f>
        <v>-4747909.794059031</v>
      </c>
      <c r="D19" s="247">
        <f>B19/(Parâmetros!E22)/1000</f>
        <v>-2.7409996438746444E-05</v>
      </c>
      <c r="E19" s="246">
        <f>Dívida!G9</f>
        <v>-5752872.550000001</v>
      </c>
      <c r="F19" s="246">
        <f>E19/((1+Parâmetros!E14)*(1+Parâmetros!F14))</f>
        <v>-5189816.862975336</v>
      </c>
      <c r="G19" s="247">
        <f>E19/(Parâmetros!F22)/1000</f>
        <v>-2.913097608401736E-05</v>
      </c>
      <c r="H19" s="246">
        <f>Dívida!H9</f>
        <v>-6550872.550000001</v>
      </c>
      <c r="I19" s="246">
        <f>H19/((1+Parâmetros!E14)*(1+Parâmetros!F14)*(1+Parâmetros!G14))</f>
        <v>-5602155.2225515945</v>
      </c>
      <c r="J19" s="247">
        <f>H19/(Parâmetros!G22)/1000</f>
        <v>-2.978346237781314E-05</v>
      </c>
    </row>
    <row r="20" spans="1:10" ht="12.75">
      <c r="A20" s="357" t="s">
        <v>294</v>
      </c>
      <c r="B20" s="357"/>
      <c r="C20" s="357"/>
      <c r="D20" s="357"/>
      <c r="E20" s="357"/>
      <c r="F20" s="357"/>
      <c r="G20" s="357"/>
      <c r="H20" s="357"/>
      <c r="I20" s="357"/>
      <c r="J20" s="357"/>
    </row>
    <row r="21" ht="12.75">
      <c r="A21" s="321" t="s">
        <v>317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tabSelected="1"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5" customWidth="1"/>
    <col min="2" max="2" width="20.140625" style="105" customWidth="1"/>
    <col min="3" max="3" width="9.7109375" style="105" customWidth="1"/>
    <col min="4" max="4" width="19.421875" style="105" customWidth="1"/>
    <col min="5" max="5" width="9.7109375" style="105" customWidth="1"/>
    <col min="6" max="6" width="15.140625" style="105" customWidth="1"/>
    <col min="7" max="7" width="14.28125" style="105" customWidth="1"/>
    <col min="8" max="16384" width="9.140625" style="105" customWidth="1"/>
  </cols>
  <sheetData>
    <row r="1" spans="1:7" ht="12.75">
      <c r="A1" s="367" t="str">
        <f>DADOS!A3</f>
        <v>MUNICIPIO DE QUILOMBO</v>
      </c>
      <c r="B1" s="368"/>
      <c r="C1" s="368"/>
      <c r="D1" s="368"/>
      <c r="E1" s="368"/>
      <c r="F1" s="368"/>
      <c r="G1" s="369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232</v>
      </c>
      <c r="B3" s="368"/>
      <c r="C3" s="368"/>
      <c r="D3" s="368"/>
      <c r="E3" s="368"/>
      <c r="F3" s="368"/>
      <c r="G3" s="369"/>
    </row>
    <row r="4" spans="1:7" ht="12.75">
      <c r="A4" s="371" t="s">
        <v>233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2.75" customHeight="1">
      <c r="A7" s="106" t="s">
        <v>123</v>
      </c>
      <c r="B7" s="107"/>
      <c r="C7" s="107"/>
      <c r="D7" s="107"/>
      <c r="E7" s="107"/>
      <c r="F7" s="375">
        <v>1</v>
      </c>
      <c r="G7" s="376"/>
    </row>
    <row r="8" spans="1:7" ht="10.5" customHeight="1">
      <c r="A8" s="377" t="s">
        <v>105</v>
      </c>
      <c r="B8" s="380" t="s">
        <v>212</v>
      </c>
      <c r="C8" s="380" t="s">
        <v>107</v>
      </c>
      <c r="D8" s="380" t="s">
        <v>213</v>
      </c>
      <c r="E8" s="380" t="s">
        <v>107</v>
      </c>
      <c r="F8" s="382" t="s">
        <v>124</v>
      </c>
      <c r="G8" s="383"/>
    </row>
    <row r="9" spans="1:7" ht="12.75" customHeight="1">
      <c r="A9" s="378"/>
      <c r="B9" s="381"/>
      <c r="C9" s="381"/>
      <c r="D9" s="381"/>
      <c r="E9" s="381"/>
      <c r="F9" s="384"/>
      <c r="G9" s="385"/>
    </row>
    <row r="10" spans="1:7" ht="22.5" customHeight="1">
      <c r="A10" s="379"/>
      <c r="B10" s="109">
        <f>DADOS!E32-2</f>
        <v>2016</v>
      </c>
      <c r="C10" s="109"/>
      <c r="D10" s="109">
        <f>B10</f>
        <v>2016</v>
      </c>
      <c r="E10" s="109"/>
      <c r="F10" s="110" t="s">
        <v>222</v>
      </c>
      <c r="G10" s="108" t="s">
        <v>125</v>
      </c>
    </row>
    <row r="11" spans="1:7" ht="15">
      <c r="A11" s="111" t="s">
        <v>54</v>
      </c>
      <c r="B11" s="248">
        <f>Plano!E42</f>
        <v>29880000</v>
      </c>
      <c r="C11" s="249">
        <f>B11/(Parâmetros!C22)/1000</f>
        <v>0.00019565986091648441</v>
      </c>
      <c r="D11" s="250">
        <f>Plano!E22</f>
        <v>30003900.38</v>
      </c>
      <c r="E11" s="249">
        <f>D11/(Parâmetros!E22)/1000</f>
        <v>0.00016438691858426473</v>
      </c>
      <c r="F11" s="251">
        <f aca="true" t="shared" si="0" ref="F11:F18">D11-B11</f>
        <v>123900.37999999896</v>
      </c>
      <c r="G11" s="252">
        <f aca="true" t="shared" si="1" ref="G11:G18">(F11/B11)</f>
        <v>0.004146599062918305</v>
      </c>
    </row>
    <row r="12" spans="1:7" ht="15">
      <c r="A12" s="111" t="s">
        <v>234</v>
      </c>
      <c r="B12" s="248">
        <f>B11-(Plano!E43+Plano!E44+Plano!E45+Plano!E46)</f>
        <v>29359191.42</v>
      </c>
      <c r="C12" s="249">
        <f>B12/(Parâmetros!C22)/1000</f>
        <v>0.00019224950836203625</v>
      </c>
      <c r="D12" s="250">
        <f>D11-(Plano!E7+Plano!E15+Plano!E16+Plano!E17)</f>
        <v>29442822.2</v>
      </c>
      <c r="E12" s="249">
        <f>D12/(Parâmetros!E22)/1000</f>
        <v>0.00016131285448170064</v>
      </c>
      <c r="F12" s="251">
        <f t="shared" si="0"/>
        <v>83630.77999999747</v>
      </c>
      <c r="G12" s="252">
        <f t="shared" si="1"/>
        <v>0.0028485382585511773</v>
      </c>
    </row>
    <row r="13" spans="1:7" ht="15">
      <c r="A13" s="111" t="s">
        <v>55</v>
      </c>
      <c r="B13" s="248">
        <f>Plano!E47</f>
        <v>29880000</v>
      </c>
      <c r="C13" s="249">
        <f>B13/(Parâmetros!C22)/1000</f>
        <v>0.00019565986091648441</v>
      </c>
      <c r="D13" s="250">
        <f>Plano!E39</f>
        <v>31266009.310000002</v>
      </c>
      <c r="E13" s="249">
        <f>D13/(Parâmetros!E22)/1000</f>
        <v>0.0001713018261560377</v>
      </c>
      <c r="F13" s="251">
        <f t="shared" si="0"/>
        <v>1386009.3100000024</v>
      </c>
      <c r="G13" s="252">
        <f t="shared" si="1"/>
        <v>0.04638585374832672</v>
      </c>
    </row>
    <row r="14" spans="1:7" ht="15">
      <c r="A14" s="111" t="s">
        <v>235</v>
      </c>
      <c r="B14" s="248">
        <f>B13-(Plano!E48+Plano!E49+Plano!E50)</f>
        <v>29549949.83</v>
      </c>
      <c r="C14" s="249">
        <f>B14/(Parâmetros!C22)/1000</f>
        <v>0.0001934986303154917</v>
      </c>
      <c r="D14" s="250">
        <f>D13-(Plano!E28+Plano!E33+Plano!E35)</f>
        <v>30935959.14</v>
      </c>
      <c r="E14" s="249">
        <f>D14/(Parâmetros!E22)/1000</f>
        <v>0.00016949353024326103</v>
      </c>
      <c r="F14" s="251">
        <f t="shared" si="0"/>
        <v>1386009.3100000024</v>
      </c>
      <c r="G14" s="252">
        <f t="shared" si="1"/>
        <v>0.0469039479922529</v>
      </c>
    </row>
    <row r="15" spans="1:7" ht="15">
      <c r="A15" s="111" t="s">
        <v>126</v>
      </c>
      <c r="B15" s="248">
        <f>B12-B14</f>
        <v>-190758.40999999642</v>
      </c>
      <c r="C15" s="249">
        <f>B15/(Parâmetros!C22)/1000</f>
        <v>-1.2491219534554555E-06</v>
      </c>
      <c r="D15" s="250">
        <f>D12-D14</f>
        <v>-1493136.9400000013</v>
      </c>
      <c r="E15" s="249">
        <f>D15/(Parâmetros!E22)/1000</f>
        <v>-8.180675761560385E-06</v>
      </c>
      <c r="F15" s="251">
        <f t="shared" si="0"/>
        <v>-1302378.530000005</v>
      </c>
      <c r="G15" s="252">
        <f t="shared" si="1"/>
        <v>6.827371490462881</v>
      </c>
    </row>
    <row r="16" spans="1:7" ht="15">
      <c r="A16" s="111" t="s">
        <v>49</v>
      </c>
      <c r="B16" s="114">
        <f>Dívida!D10</f>
        <v>-674394.6200000001</v>
      </c>
      <c r="C16" s="112">
        <f>B16/(Parâmetros!C22)/1000</f>
        <v>-4.416062836413165E-06</v>
      </c>
      <c r="D16" s="250">
        <f>Dívida!D10</f>
        <v>-674394.6200000001</v>
      </c>
      <c r="E16" s="249">
        <f>D16/(Parâmetros!E22)/1000</f>
        <v>-3.694908064869604E-06</v>
      </c>
      <c r="F16" s="251">
        <f t="shared" si="0"/>
        <v>0</v>
      </c>
      <c r="G16" s="252">
        <f t="shared" si="1"/>
        <v>0</v>
      </c>
    </row>
    <row r="17" spans="1:7" ht="15">
      <c r="A17" s="111" t="s">
        <v>127</v>
      </c>
      <c r="B17" s="114">
        <f>Dívida!D7</f>
        <v>55722.64</v>
      </c>
      <c r="C17" s="112">
        <f>B17/(Parâmetros!C22)/1000</f>
        <v>3.648823290595492E-07</v>
      </c>
      <c r="D17" s="250">
        <f>Dívida!D7</f>
        <v>55722.64</v>
      </c>
      <c r="E17" s="249">
        <f>D17/(Parâmetros!E22)/1000</f>
        <v>3.05296077142231E-07</v>
      </c>
      <c r="F17" s="251">
        <f t="shared" si="0"/>
        <v>0</v>
      </c>
      <c r="G17" s="252">
        <f t="shared" si="1"/>
        <v>0</v>
      </c>
    </row>
    <row r="18" spans="1:7" ht="15">
      <c r="A18" s="113" t="s">
        <v>128</v>
      </c>
      <c r="B18" s="114">
        <f>Dívida!D9</f>
        <v>-3633130.73</v>
      </c>
      <c r="C18" s="112">
        <f>B18/(Parâmetros!C22)/1000</f>
        <v>-2.3790423471325484E-05</v>
      </c>
      <c r="D18" s="250">
        <f>Dívida!D9</f>
        <v>-3633130.73</v>
      </c>
      <c r="E18" s="249">
        <f>D18/(Parâmetros!E22)/1000</f>
        <v>-1.9905384231865E-05</v>
      </c>
      <c r="F18" s="251">
        <f t="shared" si="0"/>
        <v>0</v>
      </c>
      <c r="G18" s="252">
        <f t="shared" si="1"/>
        <v>0</v>
      </c>
    </row>
    <row r="19" spans="1:7" ht="12.75">
      <c r="A19" s="374"/>
      <c r="B19" s="374"/>
      <c r="C19" s="374"/>
      <c r="D19" s="374"/>
      <c r="E19" s="374"/>
      <c r="F19" s="374"/>
      <c r="G19" s="374"/>
    </row>
    <row r="21" ht="12.75">
      <c r="A21" s="105" t="s">
        <v>271</v>
      </c>
    </row>
    <row r="22" ht="12.75">
      <c r="A22" s="105" t="s">
        <v>295</v>
      </c>
    </row>
    <row r="23" ht="12.75">
      <c r="A23" s="292" t="s">
        <v>296</v>
      </c>
    </row>
    <row r="24" ht="12.75">
      <c r="A24" s="322" t="s">
        <v>317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zoomScalePageLayoutView="0" workbookViewId="0" topLeftCell="A1">
      <selection activeCell="B16" sqref="B16"/>
    </sheetView>
  </sheetViews>
  <sheetFormatPr defaultColWidth="9.140625" defaultRowHeight="12.75"/>
  <cols>
    <col min="1" max="1" width="25.28125" style="293" customWidth="1"/>
    <col min="2" max="2" width="11.28125" style="293" customWidth="1"/>
    <col min="3" max="3" width="10.28125" style="293" bestFit="1" customWidth="1"/>
    <col min="4" max="4" width="9.140625" style="293" bestFit="1" customWidth="1"/>
    <col min="5" max="5" width="9.57421875" style="293" customWidth="1"/>
    <col min="6" max="6" width="9.140625" style="293" bestFit="1" customWidth="1"/>
    <col min="7" max="7" width="10.57421875" style="293" bestFit="1" customWidth="1"/>
    <col min="8" max="8" width="10.7109375" style="293" bestFit="1" customWidth="1"/>
    <col min="9" max="9" width="10.57421875" style="293" bestFit="1" customWidth="1"/>
    <col min="10" max="10" width="10.7109375" style="293" bestFit="1" customWidth="1"/>
    <col min="11" max="11" width="10.57421875" style="293" bestFit="1" customWidth="1"/>
    <col min="12" max="12" width="9.7109375" style="293" customWidth="1"/>
    <col min="13" max="16384" width="9.140625" style="293" customWidth="1"/>
  </cols>
  <sheetData>
    <row r="1" spans="1:12" ht="12.75" customHeight="1">
      <c r="A1" s="367" t="str">
        <f>DADOS!A3</f>
        <v>MUNICIPIO DE QUILOMBO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9"/>
    </row>
    <row r="2" spans="1:12" ht="11.25">
      <c r="A2" s="370" t="s">
        <v>48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9"/>
    </row>
    <row r="3" spans="1:12" ht="11.25">
      <c r="A3" s="370" t="s">
        <v>232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9"/>
    </row>
    <row r="4" spans="1:12" ht="11.25">
      <c r="A4" s="371" t="s">
        <v>236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3"/>
    </row>
    <row r="5" spans="1:12" ht="11.25">
      <c r="A5" s="370" t="str">
        <f>DADOS!A17</f>
        <v>Exercício de 2018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9"/>
    </row>
    <row r="6" spans="1:12" ht="11.25">
      <c r="A6" s="370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9"/>
    </row>
    <row r="7" spans="1:12" ht="11.25">
      <c r="A7" s="294" t="s">
        <v>129</v>
      </c>
      <c r="B7" s="294" t="s">
        <v>130</v>
      </c>
      <c r="C7" s="294"/>
      <c r="D7" s="294"/>
      <c r="E7" s="294"/>
      <c r="F7" s="294"/>
      <c r="G7" s="294"/>
      <c r="H7" s="294"/>
      <c r="I7" s="294"/>
      <c r="J7" s="294"/>
      <c r="K7" s="294"/>
      <c r="L7" s="295">
        <v>1</v>
      </c>
    </row>
    <row r="8" spans="1:12" ht="15.75" customHeight="1">
      <c r="A8" s="296" t="s">
        <v>105</v>
      </c>
      <c r="B8" s="386" t="s">
        <v>131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</row>
    <row r="9" spans="1:12" s="297" customFormat="1" ht="15.75" customHeight="1">
      <c r="A9" s="388"/>
      <c r="B9" s="390">
        <f>DADOS!E32-4</f>
        <v>2014</v>
      </c>
      <c r="C9" s="390">
        <f>B9+1</f>
        <v>2015</v>
      </c>
      <c r="D9" s="390" t="s">
        <v>224</v>
      </c>
      <c r="E9" s="390">
        <f>C9+1</f>
        <v>2016</v>
      </c>
      <c r="F9" s="390" t="s">
        <v>224</v>
      </c>
      <c r="G9" s="380">
        <f>E9+1</f>
        <v>2017</v>
      </c>
      <c r="H9" s="380" t="s">
        <v>224</v>
      </c>
      <c r="I9" s="380">
        <f>G9+1</f>
        <v>2018</v>
      </c>
      <c r="J9" s="380" t="s">
        <v>225</v>
      </c>
      <c r="K9" s="380">
        <f>I9+1</f>
        <v>2019</v>
      </c>
      <c r="L9" s="382" t="s">
        <v>224</v>
      </c>
    </row>
    <row r="10" spans="1:12" s="297" customFormat="1" ht="15.75" customHeight="1">
      <c r="A10" s="389"/>
      <c r="B10" s="391"/>
      <c r="C10" s="391"/>
      <c r="D10" s="391"/>
      <c r="E10" s="391"/>
      <c r="F10" s="391"/>
      <c r="G10" s="392"/>
      <c r="H10" s="392"/>
      <c r="I10" s="392"/>
      <c r="J10" s="392"/>
      <c r="K10" s="392"/>
      <c r="L10" s="384"/>
    </row>
    <row r="11" spans="1:12" ht="11.25">
      <c r="A11" s="298" t="s">
        <v>132</v>
      </c>
      <c r="B11" s="299">
        <f>Plano!D42</f>
        <v>27565000</v>
      </c>
      <c r="C11" s="299">
        <f>Plano!E42</f>
        <v>29880000</v>
      </c>
      <c r="D11" s="300">
        <f aca="true" t="shared" si="0" ref="D11:D18">(C11/B11)-1</f>
        <v>0.08398331217123167</v>
      </c>
      <c r="E11" s="299">
        <f>Plano!F42</f>
        <v>32705000</v>
      </c>
      <c r="F11" s="300">
        <f aca="true" t="shared" si="1" ref="F11:F18">(E11/C11)-1</f>
        <v>0.09454484605087021</v>
      </c>
      <c r="G11" s="301">
        <f>Metas!B12</f>
        <v>24850000</v>
      </c>
      <c r="H11" s="302">
        <f aca="true" t="shared" si="2" ref="H11:H18">(G11/E11)-1</f>
        <v>-0.24017734291392756</v>
      </c>
      <c r="I11" s="301">
        <f>Metas!E12</f>
        <v>27565000</v>
      </c>
      <c r="J11" s="302">
        <f aca="true" t="shared" si="3" ref="J11:J18">(I11/G11)-1</f>
        <v>0.10925553319919512</v>
      </c>
      <c r="K11" s="301">
        <f>Metas!H12</f>
        <v>29880000</v>
      </c>
      <c r="L11" s="302">
        <f aca="true" t="shared" si="4" ref="L11:L17">(K11/I11)-1</f>
        <v>0.08398331217123167</v>
      </c>
    </row>
    <row r="12" spans="1:12" ht="11.25">
      <c r="A12" s="298" t="s">
        <v>239</v>
      </c>
      <c r="B12" s="299">
        <f>B11-(Plano!D43+Plano!D44+Plano!D45+Plano!D46)</f>
        <v>27082419.41</v>
      </c>
      <c r="C12" s="299">
        <f>C11-(Plano!E43+Plano!E44+Plano!E45+Plano!E46)</f>
        <v>29359191.42</v>
      </c>
      <c r="D12" s="300">
        <f t="shared" si="0"/>
        <v>0.0840682649334985</v>
      </c>
      <c r="E12" s="299">
        <f>E11-(Plano!F43+Plano!F44+Plano!F45+Plano!F46)</f>
        <v>32296050</v>
      </c>
      <c r="F12" s="300">
        <f t="shared" si="1"/>
        <v>0.10003199808831775</v>
      </c>
      <c r="G12" s="303">
        <f>Metas!B13</f>
        <v>24430680</v>
      </c>
      <c r="H12" s="302">
        <f t="shared" si="2"/>
        <v>-0.24353968983823104</v>
      </c>
      <c r="I12" s="303">
        <f>Metas!E13</f>
        <v>27167500</v>
      </c>
      <c r="J12" s="302">
        <f t="shared" si="3"/>
        <v>0.11202389782028166</v>
      </c>
      <c r="K12" s="303">
        <f>Metas!H13</f>
        <v>29478940</v>
      </c>
      <c r="L12" s="302">
        <f t="shared" si="4"/>
        <v>0.0850810711327874</v>
      </c>
    </row>
    <row r="13" spans="1:12" ht="11.25">
      <c r="A13" s="298" t="s">
        <v>133</v>
      </c>
      <c r="B13" s="299">
        <f>Plano!D47</f>
        <v>27565000</v>
      </c>
      <c r="C13" s="299">
        <f>Plano!E47</f>
        <v>29880000</v>
      </c>
      <c r="D13" s="300">
        <f t="shared" si="0"/>
        <v>0.08398331217123167</v>
      </c>
      <c r="E13" s="299">
        <f>Plano!F47</f>
        <v>32705000</v>
      </c>
      <c r="F13" s="300">
        <f t="shared" si="1"/>
        <v>0.09454484605087021</v>
      </c>
      <c r="G13" s="303">
        <f>Metas!B14</f>
        <v>24850000</v>
      </c>
      <c r="H13" s="302">
        <f t="shared" si="2"/>
        <v>-0.24017734291392756</v>
      </c>
      <c r="I13" s="303">
        <f>Metas!E14</f>
        <v>27565000</v>
      </c>
      <c r="J13" s="302">
        <f t="shared" si="3"/>
        <v>0.10925553319919512</v>
      </c>
      <c r="K13" s="303">
        <f>Metas!H14</f>
        <v>29880000</v>
      </c>
      <c r="L13" s="302">
        <f t="shared" si="4"/>
        <v>0.08398331217123167</v>
      </c>
    </row>
    <row r="14" spans="1:12" ht="11.25">
      <c r="A14" s="298" t="s">
        <v>231</v>
      </c>
      <c r="B14" s="299">
        <f>B13-(Plano!D48+Plano!D49+Plano!D50)</f>
        <v>27195009.71</v>
      </c>
      <c r="C14" s="299">
        <f>C13-(Plano!E48+Plano!E49+Plano!E50)</f>
        <v>29549949.83</v>
      </c>
      <c r="D14" s="300">
        <f t="shared" si="0"/>
        <v>0.08659456808849941</v>
      </c>
      <c r="E14" s="299">
        <f>E13-(Plano!F48+Plano!F49+Plano!F50)</f>
        <v>32620000</v>
      </c>
      <c r="F14" s="300">
        <f t="shared" si="1"/>
        <v>0.10389358315875019</v>
      </c>
      <c r="G14" s="303">
        <f>Metas!B15</f>
        <v>24301000</v>
      </c>
      <c r="H14" s="302">
        <f t="shared" si="2"/>
        <v>-0.25502759043531575</v>
      </c>
      <c r="I14" s="303">
        <f>Metas!E15</f>
        <v>27055000</v>
      </c>
      <c r="J14" s="302">
        <f t="shared" si="3"/>
        <v>0.11332866960207388</v>
      </c>
      <c r="K14" s="303">
        <f>Metas!H15</f>
        <v>29382000</v>
      </c>
      <c r="L14" s="302">
        <f t="shared" si="4"/>
        <v>0.08600997967104052</v>
      </c>
    </row>
    <row r="15" spans="1:12" ht="11.25">
      <c r="A15" s="298" t="s">
        <v>134</v>
      </c>
      <c r="B15" s="299">
        <f>B12-B14</f>
        <v>-112590.30000000075</v>
      </c>
      <c r="C15" s="299">
        <f>C12-C14</f>
        <v>-190758.40999999642</v>
      </c>
      <c r="D15" s="300">
        <f t="shared" si="0"/>
        <v>0.6942703767553258</v>
      </c>
      <c r="E15" s="299">
        <f>E12-E14</f>
        <v>-323950</v>
      </c>
      <c r="F15" s="300">
        <f t="shared" si="1"/>
        <v>0.698221326126623</v>
      </c>
      <c r="G15" s="303">
        <f>Metas!B16</f>
        <v>129680</v>
      </c>
      <c r="H15" s="302">
        <f t="shared" si="2"/>
        <v>-1.4003086896125945</v>
      </c>
      <c r="I15" s="303">
        <f>Metas!E16</f>
        <v>112500</v>
      </c>
      <c r="J15" s="302">
        <f t="shared" si="3"/>
        <v>-0.1324799506477483</v>
      </c>
      <c r="K15" s="303">
        <f>Metas!H16</f>
        <v>96940</v>
      </c>
      <c r="L15" s="302">
        <f t="shared" si="4"/>
        <v>-0.13831111111111116</v>
      </c>
    </row>
    <row r="16" spans="1:12" ht="11.25">
      <c r="A16" s="298" t="s">
        <v>135</v>
      </c>
      <c r="B16" s="304">
        <f>C16</f>
        <v>-674394.6200000001</v>
      </c>
      <c r="C16" s="304">
        <f>Dívida!D10</f>
        <v>-674394.6200000001</v>
      </c>
      <c r="D16" s="300">
        <f t="shared" si="0"/>
        <v>0</v>
      </c>
      <c r="E16" s="304">
        <f>Dívida!E10</f>
        <v>-650741.8199999998</v>
      </c>
      <c r="F16" s="300">
        <f t="shared" si="1"/>
        <v>-0.0350726404074817</v>
      </c>
      <c r="G16" s="303">
        <f>Metas!B17</f>
        <v>-719000.0000000009</v>
      </c>
      <c r="H16" s="302">
        <f t="shared" si="2"/>
        <v>0.10489287441216111</v>
      </c>
      <c r="I16" s="303">
        <f>Metas!E17</f>
        <v>-750000</v>
      </c>
      <c r="J16" s="302">
        <f t="shared" si="3"/>
        <v>0.04311543810848262</v>
      </c>
      <c r="K16" s="299">
        <f>Metas!H17</f>
        <v>-798000</v>
      </c>
      <c r="L16" s="302">
        <f t="shared" si="4"/>
        <v>0.06400000000000006</v>
      </c>
    </row>
    <row r="17" spans="1:12" ht="11.25">
      <c r="A17" s="298" t="s">
        <v>136</v>
      </c>
      <c r="B17" s="304">
        <f>Dívida!C7</f>
        <v>557516.64</v>
      </c>
      <c r="C17" s="304">
        <f>Dívida!D7</f>
        <v>55722.64</v>
      </c>
      <c r="D17" s="300">
        <f t="shared" si="0"/>
        <v>-0.9000520594327014</v>
      </c>
      <c r="E17" s="304">
        <f>Dívida!E7</f>
        <v>35438.34</v>
      </c>
      <c r="F17" s="300">
        <f t="shared" si="1"/>
        <v>-0.36402259476579</v>
      </c>
      <c r="G17" s="303">
        <f>Metas!B18</f>
        <v>-423561.66000000003</v>
      </c>
      <c r="H17" s="302">
        <f t="shared" si="2"/>
        <v>-12.952073940257927</v>
      </c>
      <c r="I17" s="303">
        <f>Metas!E18</f>
        <v>-893561.66</v>
      </c>
      <c r="J17" s="302">
        <f t="shared" si="3"/>
        <v>1.109637732555869</v>
      </c>
      <c r="K17" s="299">
        <f>Metas!H18</f>
        <v>-1381561.6600000001</v>
      </c>
      <c r="L17" s="302">
        <f t="shared" si="4"/>
        <v>0.546129071831484</v>
      </c>
    </row>
    <row r="18" spans="1:12" ht="11.25">
      <c r="A18" s="305" t="s">
        <v>128</v>
      </c>
      <c r="B18" s="306">
        <f>Dívida!C9</f>
        <v>-2958736.11</v>
      </c>
      <c r="C18" s="306">
        <f>Dívida!D9</f>
        <v>-3633130.73</v>
      </c>
      <c r="D18" s="300">
        <f t="shared" si="0"/>
        <v>0.22793334549866295</v>
      </c>
      <c r="E18" s="306">
        <f>Dívida!E9</f>
        <v>-4283872.55</v>
      </c>
      <c r="F18" s="300">
        <f t="shared" si="1"/>
        <v>0.17911324099256953</v>
      </c>
      <c r="G18" s="307">
        <f>Metas!B19</f>
        <v>-5002872.550000001</v>
      </c>
      <c r="H18" s="302">
        <f t="shared" si="2"/>
        <v>0.16783879343002428</v>
      </c>
      <c r="I18" s="307">
        <f>Metas!E19</f>
        <v>-5752872.550000001</v>
      </c>
      <c r="J18" s="302">
        <f t="shared" si="3"/>
        <v>0.1499138729808338</v>
      </c>
      <c r="K18" s="308">
        <f>Metas!H19</f>
        <v>-6550872.550000001</v>
      </c>
      <c r="L18" s="302">
        <f>K18/I18</f>
        <v>1.1387133111440126</v>
      </c>
    </row>
    <row r="19" spans="1:12" ht="11.25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</row>
    <row r="20" spans="1:12" ht="15.75" customHeight="1">
      <c r="A20" s="309" t="s">
        <v>105</v>
      </c>
      <c r="B20" s="386" t="s">
        <v>137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</row>
    <row r="21" spans="1:12" s="297" customFormat="1" ht="15.75" customHeight="1">
      <c r="A21" s="388"/>
      <c r="B21" s="390">
        <f>B9</f>
        <v>2014</v>
      </c>
      <c r="C21" s="390">
        <f>C9</f>
        <v>2015</v>
      </c>
      <c r="D21" s="390" t="s">
        <v>224</v>
      </c>
      <c r="E21" s="390">
        <f>E9</f>
        <v>2016</v>
      </c>
      <c r="F21" s="380" t="s">
        <v>224</v>
      </c>
      <c r="G21" s="390">
        <f>G9</f>
        <v>2017</v>
      </c>
      <c r="H21" s="380" t="s">
        <v>224</v>
      </c>
      <c r="I21" s="390">
        <f>I9</f>
        <v>2018</v>
      </c>
      <c r="J21" s="380" t="s">
        <v>224</v>
      </c>
      <c r="K21" s="390">
        <f>K9</f>
        <v>2019</v>
      </c>
      <c r="L21" s="382" t="s">
        <v>224</v>
      </c>
    </row>
    <row r="22" spans="1:12" s="297" customFormat="1" ht="15.75" customHeight="1">
      <c r="A22" s="389"/>
      <c r="B22" s="391"/>
      <c r="C22" s="391"/>
      <c r="D22" s="391"/>
      <c r="E22" s="391"/>
      <c r="F22" s="392"/>
      <c r="G22" s="391"/>
      <c r="H22" s="392"/>
      <c r="I22" s="391"/>
      <c r="J22" s="392"/>
      <c r="K22" s="391"/>
      <c r="L22" s="384"/>
    </row>
    <row r="23" spans="1:12" ht="11.25">
      <c r="A23" s="298" t="s">
        <v>132</v>
      </c>
      <c r="B23" s="301">
        <f>B11*((1+Parâmetros!C14)*(1+Parâmetros!D14))</f>
        <v>30452356.843649995</v>
      </c>
      <c r="C23" s="299">
        <f>C11*(1+Parâmetros!D14)</f>
        <v>31645907.999999996</v>
      </c>
      <c r="D23" s="300">
        <f aca="true" t="shared" si="5" ref="D23:D30">(C23/B23)-1</f>
        <v>0.03919404867340792</v>
      </c>
      <c r="E23" s="299">
        <f>E11</f>
        <v>32705000</v>
      </c>
      <c r="F23" s="300">
        <f aca="true" t="shared" si="6" ref="F23:F30">(E23/C23)-1</f>
        <v>0.03346694934460426</v>
      </c>
      <c r="G23" s="301">
        <f>Metas!C12</f>
        <v>23583562.683875863</v>
      </c>
      <c r="H23" s="300">
        <f aca="true" t="shared" si="7" ref="H23:H30">(G23/E23)-1</f>
        <v>-0.27890039187048277</v>
      </c>
      <c r="I23" s="301">
        <f>Metas!F12</f>
        <v>24867107.794333998</v>
      </c>
      <c r="J23" s="300">
        <f aca="true" t="shared" si="8" ref="J23:J30">(I23/G23)-1</f>
        <v>0.05442541178630744</v>
      </c>
      <c r="K23" s="301">
        <f>Metas!I12</f>
        <v>25552687.336260516</v>
      </c>
      <c r="L23" s="300">
        <f aca="true" t="shared" si="9" ref="L23:L30">(K23/I23)-1</f>
        <v>0.027569733786360517</v>
      </c>
    </row>
    <row r="24" spans="1:12" ht="11.25">
      <c r="A24" s="298" t="s">
        <v>239</v>
      </c>
      <c r="B24" s="301">
        <f>B12*((1+Parâmetros!C14)*(1+Parâmetros!D14))</f>
        <v>29919227.28324734</v>
      </c>
      <c r="C24" s="299">
        <f>C12*(1+Parâmetros!D14)</f>
        <v>31094319.632922</v>
      </c>
      <c r="D24" s="300">
        <f t="shared" si="5"/>
        <v>0.0392754912601847</v>
      </c>
      <c r="E24" s="299">
        <f>E12</f>
        <v>32296050</v>
      </c>
      <c r="F24" s="300">
        <f t="shared" si="6"/>
        <v>0.038647906796636766</v>
      </c>
      <c r="G24" s="303">
        <f>Metas!C13</f>
        <v>23185612.60320774</v>
      </c>
      <c r="H24" s="300">
        <f t="shared" si="7"/>
        <v>-0.2820913825929876</v>
      </c>
      <c r="I24" s="303">
        <f>Metas!F13</f>
        <v>24508512.64293738</v>
      </c>
      <c r="J24" s="300">
        <f t="shared" si="8"/>
        <v>0.0570569370915226</v>
      </c>
      <c r="K24" s="303">
        <f>Metas!I13</f>
        <v>25209710.067750454</v>
      </c>
      <c r="L24" s="300">
        <f t="shared" si="9"/>
        <v>0.028610362245508947</v>
      </c>
    </row>
    <row r="25" spans="1:12" ht="11.25">
      <c r="A25" s="298" t="s">
        <v>133</v>
      </c>
      <c r="B25" s="301">
        <f>B13*((1+Parâmetros!C14)*(1+Parâmetros!D14))</f>
        <v>30452356.843649995</v>
      </c>
      <c r="C25" s="299">
        <f>C13*(1+Parâmetros!D14)</f>
        <v>31645907.999999996</v>
      </c>
      <c r="D25" s="300">
        <f t="shared" si="5"/>
        <v>0.03919404867340792</v>
      </c>
      <c r="E25" s="299">
        <f>E13</f>
        <v>32705000</v>
      </c>
      <c r="F25" s="300">
        <f t="shared" si="6"/>
        <v>0.03346694934460426</v>
      </c>
      <c r="G25" s="303">
        <f>Metas!C14</f>
        <v>23583562.683875863</v>
      </c>
      <c r="H25" s="300">
        <f t="shared" si="7"/>
        <v>-0.27890039187048277</v>
      </c>
      <c r="I25" s="303">
        <f>Metas!F14</f>
        <v>24867107.794333998</v>
      </c>
      <c r="J25" s="300">
        <f t="shared" si="8"/>
        <v>0.05442541178630744</v>
      </c>
      <c r="K25" s="303">
        <f>Metas!I14</f>
        <v>25552687.336260516</v>
      </c>
      <c r="L25" s="300">
        <f t="shared" si="9"/>
        <v>0.027569733786360517</v>
      </c>
    </row>
    <row r="26" spans="1:12" ht="11.25">
      <c r="A26" s="298" t="s">
        <v>231</v>
      </c>
      <c r="B26" s="301">
        <f>B14*((1+Parâmetros!C14)*(1+Parâmetros!D14))</f>
        <v>30043611.103045404</v>
      </c>
      <c r="C26" s="299">
        <f>C14*(1+Parâmetros!D14)</f>
        <v>31296351.864952996</v>
      </c>
      <c r="D26" s="300">
        <f t="shared" si="5"/>
        <v>0.04169740972917224</v>
      </c>
      <c r="E26" s="299">
        <f>E14</f>
        <v>32620000</v>
      </c>
      <c r="F26" s="300">
        <f t="shared" si="6"/>
        <v>0.0422940073257958</v>
      </c>
      <c r="G26" s="303">
        <f>Metas!C15</f>
        <v>23062541.520356838</v>
      </c>
      <c r="H26" s="300">
        <f t="shared" si="7"/>
        <v>-0.29299382218403314</v>
      </c>
      <c r="I26" s="303">
        <f>Metas!F15</f>
        <v>24407023.449145883</v>
      </c>
      <c r="J26" s="300">
        <f t="shared" si="8"/>
        <v>0.05829721445064062</v>
      </c>
      <c r="K26" s="303">
        <f>Metas!I15</f>
        <v>25126809.213989507</v>
      </c>
      <c r="L26" s="300">
        <f t="shared" si="9"/>
        <v>0.029490927738212713</v>
      </c>
    </row>
    <row r="27" spans="1:12" ht="11.25">
      <c r="A27" s="298" t="s">
        <v>134</v>
      </c>
      <c r="B27" s="301">
        <f>B24-B26</f>
        <v>-124383.81979806349</v>
      </c>
      <c r="C27" s="303">
        <f>C24-C26</f>
        <v>-202032.2320309952</v>
      </c>
      <c r="D27" s="300">
        <f t="shared" si="5"/>
        <v>0.6242645736317916</v>
      </c>
      <c r="E27" s="303">
        <f>E24-E26</f>
        <v>-323950</v>
      </c>
      <c r="F27" s="300">
        <f t="shared" si="6"/>
        <v>0.603457016454189</v>
      </c>
      <c r="G27" s="303">
        <f>Metas!C16</f>
        <v>123071.08285090327</v>
      </c>
      <c r="H27" s="300">
        <f t="shared" si="7"/>
        <v>-1.379907648868354</v>
      </c>
      <c r="I27" s="303">
        <f>Metas!F16</f>
        <v>101489.1937914975</v>
      </c>
      <c r="J27" s="300">
        <f t="shared" si="8"/>
        <v>-0.17536116981721495</v>
      </c>
      <c r="K27" s="303">
        <f>Metas!I16</f>
        <v>82900.85376094654</v>
      </c>
      <c r="L27" s="300">
        <f t="shared" si="9"/>
        <v>-0.18315585468872098</v>
      </c>
    </row>
    <row r="28" spans="1:12" ht="11.25">
      <c r="A28" s="298" t="s">
        <v>135</v>
      </c>
      <c r="B28" s="301">
        <f>B16*((1+Parâmetros!C14)*(1+Parâmetros!D14))</f>
        <v>-745035.5748840101</v>
      </c>
      <c r="C28" s="299">
        <f>C16*(1+Parâmetros!D14)</f>
        <v>-714251.342042</v>
      </c>
      <c r="D28" s="300">
        <f t="shared" si="5"/>
        <v>-0.04131914485667709</v>
      </c>
      <c r="E28" s="299">
        <f>E16</f>
        <v>-650741.8199999998</v>
      </c>
      <c r="F28" s="300">
        <f t="shared" si="6"/>
        <v>-0.08891760967565066</v>
      </c>
      <c r="G28" s="303">
        <f>Metas!C17</f>
        <v>-682357.4072316607</v>
      </c>
      <c r="H28" s="300">
        <f t="shared" si="7"/>
        <v>0.0485839180147678</v>
      </c>
      <c r="I28" s="303">
        <f>Metas!F17</f>
        <v>-676594.6252766369</v>
      </c>
      <c r="J28" s="300">
        <f t="shared" si="8"/>
        <v>-0.008445401037563971</v>
      </c>
      <c r="K28" s="303">
        <f>Metas!I17</f>
        <v>-682431.2079764354</v>
      </c>
      <c r="L28" s="300">
        <f t="shared" si="9"/>
        <v>0.00862641008626408</v>
      </c>
    </row>
    <row r="29" spans="1:12" ht="11.25">
      <c r="A29" s="298" t="s">
        <v>136</v>
      </c>
      <c r="B29" s="301">
        <f>B17*((1+Parâmetros!C14)*(1+Parâmetros!D14))</f>
        <v>615914.9525685742</v>
      </c>
      <c r="C29" s="299">
        <f>C17*(1+Parâmetros!D14)</f>
        <v>59015.848024</v>
      </c>
      <c r="D29" s="300">
        <f t="shared" si="5"/>
        <v>-0.9041818228671281</v>
      </c>
      <c r="E29" s="299">
        <f>E17</f>
        <v>35438.34</v>
      </c>
      <c r="F29" s="300">
        <f t="shared" si="6"/>
        <v>-0.39951146706240204</v>
      </c>
      <c r="G29" s="303">
        <f>Metas!C18</f>
        <v>-401975.57179462846</v>
      </c>
      <c r="H29" s="300">
        <f t="shared" si="7"/>
        <v>-12.342957141746156</v>
      </c>
      <c r="I29" s="303">
        <f>Metas!F18</f>
        <v>-806105.355345693</v>
      </c>
      <c r="J29" s="300">
        <f t="shared" si="8"/>
        <v>1.0053590613648948</v>
      </c>
      <c r="K29" s="303">
        <f>Metas!I18</f>
        <v>-1181479.6898843728</v>
      </c>
      <c r="L29" s="300">
        <f t="shared" si="9"/>
        <v>0.4656641120783809</v>
      </c>
    </row>
    <row r="30" spans="1:12" ht="11.25">
      <c r="A30" s="305" t="s">
        <v>128</v>
      </c>
      <c r="B30" s="301">
        <f>B18*((1+Parâmetros!C14)*(1+Parâmetros!D14))</f>
        <v>-3268655.462648752</v>
      </c>
      <c r="C30" s="299">
        <f>C18*(1+Parâmetros!D14)</f>
        <v>-3847848.7561429995</v>
      </c>
      <c r="D30" s="300">
        <f t="shared" si="5"/>
        <v>0.17719618972165962</v>
      </c>
      <c r="E30" s="299">
        <f>E18</f>
        <v>-4283872.55</v>
      </c>
      <c r="F30" s="300">
        <f t="shared" si="6"/>
        <v>0.11331625058310801</v>
      </c>
      <c r="G30" s="307">
        <f>Metas!C19</f>
        <v>-4747909.794059031</v>
      </c>
      <c r="H30" s="300">
        <f t="shared" si="7"/>
        <v>0.10832190702289468</v>
      </c>
      <c r="I30" s="307">
        <f>Metas!F19</f>
        <v>-5189816.862975336</v>
      </c>
      <c r="J30" s="300">
        <f t="shared" si="8"/>
        <v>0.09307402374603968</v>
      </c>
      <c r="K30" s="307">
        <f>Metas!I19</f>
        <v>-5602155.2225515945</v>
      </c>
      <c r="L30" s="300">
        <f t="shared" si="9"/>
        <v>0.07945142775998915</v>
      </c>
    </row>
    <row r="31" spans="1:12" ht="11.25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</row>
    <row r="33" ht="11.25">
      <c r="A33" s="293" t="s">
        <v>321</v>
      </c>
    </row>
    <row r="34" ht="11.25">
      <c r="A34" s="293" t="s">
        <v>322</v>
      </c>
    </row>
    <row r="35" ht="12.75">
      <c r="A35" s="320" t="s">
        <v>317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zoomScalePageLayoutView="0" workbookViewId="0" topLeftCell="A1">
      <selection activeCell="A32" sqref="A32"/>
    </sheetView>
  </sheetViews>
  <sheetFormatPr defaultColWidth="9.140625" defaultRowHeight="12.75"/>
  <cols>
    <col min="1" max="1" width="27.8515625" style="105" customWidth="1"/>
    <col min="2" max="2" width="16.28125" style="105" customWidth="1"/>
    <col min="3" max="3" width="12.8515625" style="105" customWidth="1"/>
    <col min="4" max="4" width="17.7109375" style="105" customWidth="1"/>
    <col min="5" max="5" width="14.00390625" style="105" customWidth="1"/>
    <col min="6" max="6" width="14.28125" style="105" customWidth="1"/>
    <col min="7" max="7" width="10.7109375" style="105" customWidth="1"/>
    <col min="8" max="16384" width="9.140625" style="105" customWidth="1"/>
  </cols>
  <sheetData>
    <row r="1" spans="1:7" ht="15">
      <c r="A1" s="367" t="str">
        <f>DADOS!A3</f>
        <v>MUNICIPIO DE QUILOMBO</v>
      </c>
      <c r="B1" s="393"/>
      <c r="C1" s="393"/>
      <c r="D1" s="393"/>
      <c r="E1" s="393"/>
      <c r="F1" s="393"/>
      <c r="G1" s="394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228</v>
      </c>
      <c r="B3" s="368"/>
      <c r="C3" s="368"/>
      <c r="D3" s="368"/>
      <c r="E3" s="368"/>
      <c r="F3" s="368"/>
      <c r="G3" s="369"/>
    </row>
    <row r="4" spans="1:7" ht="12.75">
      <c r="A4" s="371" t="s">
        <v>237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5">
      <c r="A7" s="310" t="s">
        <v>138</v>
      </c>
      <c r="B7" s="122"/>
      <c r="C7" s="122"/>
      <c r="D7" s="122"/>
      <c r="E7" s="122"/>
      <c r="F7" s="122"/>
      <c r="G7" s="120">
        <v>1</v>
      </c>
    </row>
    <row r="8" spans="1:7" s="116" customFormat="1" ht="25.5" customHeight="1">
      <c r="A8" s="311" t="s">
        <v>139</v>
      </c>
      <c r="B8" s="121">
        <f>DADOS!E32-2</f>
        <v>2016</v>
      </c>
      <c r="C8" s="121" t="s">
        <v>21</v>
      </c>
      <c r="D8" s="121">
        <f>B8-1</f>
        <v>2015</v>
      </c>
      <c r="E8" s="121" t="s">
        <v>21</v>
      </c>
      <c r="F8" s="121">
        <f>D8-1</f>
        <v>2014</v>
      </c>
      <c r="G8" s="108" t="s">
        <v>21</v>
      </c>
    </row>
    <row r="9" spans="1:7" ht="15">
      <c r="A9" s="312" t="s">
        <v>140</v>
      </c>
      <c r="B9" s="248">
        <f>D12</f>
        <v>55770494.95</v>
      </c>
      <c r="C9" s="253">
        <f>B9/B12</f>
        <v>1.0137011113385481</v>
      </c>
      <c r="D9" s="248">
        <f>F12</f>
        <v>53756216.82</v>
      </c>
      <c r="E9" s="253">
        <f>D9/D12</f>
        <v>0.9638827281019137</v>
      </c>
      <c r="F9" s="288">
        <v>53756216.82</v>
      </c>
      <c r="G9" s="253">
        <f>F9/F12</f>
        <v>1</v>
      </c>
    </row>
    <row r="10" spans="1:7" ht="15">
      <c r="A10" s="312" t="s">
        <v>56</v>
      </c>
      <c r="B10" s="114"/>
      <c r="C10" s="253">
        <f>B10/B12</f>
        <v>0</v>
      </c>
      <c r="D10" s="114"/>
      <c r="E10" s="253">
        <f>D10/D12</f>
        <v>0</v>
      </c>
      <c r="F10" s="114"/>
      <c r="G10" s="253">
        <f>F10/F12</f>
        <v>0</v>
      </c>
    </row>
    <row r="11" spans="1:7" ht="15">
      <c r="A11" s="313" t="s">
        <v>141</v>
      </c>
      <c r="B11" s="115">
        <v>-753790</v>
      </c>
      <c r="C11" s="254">
        <f>B11/B12</f>
        <v>-0.013701111338548093</v>
      </c>
      <c r="D11" s="115">
        <v>2014278.13</v>
      </c>
      <c r="E11" s="254">
        <f>D11/D12</f>
        <v>0.03611727189808631</v>
      </c>
      <c r="F11" s="115"/>
      <c r="G11" s="254">
        <f>F11/F12</f>
        <v>0</v>
      </c>
    </row>
    <row r="12" spans="1:7" ht="15">
      <c r="A12" s="314" t="s">
        <v>142</v>
      </c>
      <c r="B12" s="255">
        <f>SUM(B9:B11)</f>
        <v>55016704.95</v>
      </c>
      <c r="C12" s="254">
        <f>B12/B12</f>
        <v>1</v>
      </c>
      <c r="D12" s="255">
        <f>SUM(D9:D11)</f>
        <v>55770494.95</v>
      </c>
      <c r="E12" s="254">
        <f>D12/D12</f>
        <v>1</v>
      </c>
      <c r="F12" s="255">
        <f>SUM(F9:F11)</f>
        <v>53756216.82</v>
      </c>
      <c r="G12" s="254">
        <f>F12/F12</f>
        <v>1</v>
      </c>
    </row>
    <row r="13" spans="1:7" ht="15">
      <c r="A13" s="395"/>
      <c r="B13" s="395"/>
      <c r="C13" s="395"/>
      <c r="D13" s="395"/>
      <c r="E13" s="395"/>
      <c r="F13" s="395"/>
      <c r="G13" s="395"/>
    </row>
    <row r="14" spans="1:7" ht="15.75" customHeight="1">
      <c r="A14" s="396" t="s">
        <v>143</v>
      </c>
      <c r="B14" s="396"/>
      <c r="C14" s="396"/>
      <c r="D14" s="396"/>
      <c r="E14" s="396"/>
      <c r="F14" s="396"/>
      <c r="G14" s="396"/>
    </row>
    <row r="15" spans="1:7" s="116" customFormat="1" ht="25.5" customHeight="1">
      <c r="A15" s="311" t="s">
        <v>139</v>
      </c>
      <c r="B15" s="121">
        <f>B8</f>
        <v>2016</v>
      </c>
      <c r="C15" s="121" t="s">
        <v>21</v>
      </c>
      <c r="D15" s="121">
        <f>D8</f>
        <v>2015</v>
      </c>
      <c r="E15" s="121" t="s">
        <v>21</v>
      </c>
      <c r="F15" s="121">
        <f>F8</f>
        <v>2014</v>
      </c>
      <c r="G15" s="108" t="s">
        <v>21</v>
      </c>
    </row>
    <row r="16" spans="1:7" ht="15">
      <c r="A16" s="312" t="s">
        <v>140</v>
      </c>
      <c r="B16" s="248">
        <f>D19</f>
        <v>0.1</v>
      </c>
      <c r="C16" s="253">
        <f>B16/B19</f>
        <v>1</v>
      </c>
      <c r="D16" s="248">
        <f>F19</f>
        <v>1</v>
      </c>
      <c r="E16" s="253">
        <f>D16/D19</f>
        <v>10</v>
      </c>
      <c r="F16" s="288">
        <v>1</v>
      </c>
      <c r="G16" s="253">
        <f>F16/F19</f>
        <v>1</v>
      </c>
    </row>
    <row r="17" spans="1:7" ht="15">
      <c r="A17" s="312" t="s">
        <v>56</v>
      </c>
      <c r="B17" s="114">
        <v>0</v>
      </c>
      <c r="C17" s="253">
        <f>B17/B19</f>
        <v>0</v>
      </c>
      <c r="D17" s="114">
        <v>0</v>
      </c>
      <c r="E17" s="253">
        <f>D17/D19</f>
        <v>0</v>
      </c>
      <c r="F17" s="114">
        <v>0</v>
      </c>
      <c r="G17" s="253">
        <f>F17/F19</f>
        <v>0</v>
      </c>
    </row>
    <row r="18" spans="1:7" ht="15">
      <c r="A18" s="313" t="s">
        <v>141</v>
      </c>
      <c r="B18" s="115">
        <v>0</v>
      </c>
      <c r="C18" s="254">
        <f>B18/B19</f>
        <v>0</v>
      </c>
      <c r="D18" s="115">
        <v>0</v>
      </c>
      <c r="E18" s="254">
        <f>D18/D19</f>
        <v>0</v>
      </c>
      <c r="F18" s="115">
        <v>0</v>
      </c>
      <c r="G18" s="254">
        <f>F18/F19</f>
        <v>0</v>
      </c>
    </row>
    <row r="19" spans="1:7" ht="15">
      <c r="A19" s="314" t="s">
        <v>142</v>
      </c>
      <c r="B19" s="255">
        <f>SUM(B16:B18)</f>
        <v>0.1</v>
      </c>
      <c r="C19" s="254">
        <f>B19/B19</f>
        <v>1</v>
      </c>
      <c r="D19" s="255">
        <v>0.1</v>
      </c>
      <c r="E19" s="254">
        <f>D19/D19</f>
        <v>1</v>
      </c>
      <c r="F19" s="255">
        <f>SUM(F16:F18)</f>
        <v>1</v>
      </c>
      <c r="G19" s="254">
        <f>F19/F19</f>
        <v>1</v>
      </c>
    </row>
    <row r="20" spans="1:7" ht="12.75">
      <c r="A20" s="374"/>
      <c r="B20" s="374"/>
      <c r="C20" s="374"/>
      <c r="D20" s="374"/>
      <c r="E20" s="374"/>
      <c r="F20" s="374"/>
      <c r="G20" s="374"/>
    </row>
    <row r="22" ht="12.75">
      <c r="A22" s="320"/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Usuario</cp:lastModifiedBy>
  <cp:lastPrinted>2017-10-20T12:11:30Z</cp:lastPrinted>
  <dcterms:created xsi:type="dcterms:W3CDTF">2000-07-04T17:38:30Z</dcterms:created>
  <dcterms:modified xsi:type="dcterms:W3CDTF">2018-03-20T18:31:35Z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