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engenharia3\Documents\NEXTCLOUD\QBO_PROJETOS\QBO_CONCLUIDOS\REFORMA GINÁSIO DE ESPORTES E TAC\FIM\"/>
    </mc:Choice>
  </mc:AlternateContent>
  <xr:revisionPtr revIDLastSave="0" documentId="13_ncr:1_{D3B21727-0828-449B-95C8-66B6E4842324}" xr6:coauthVersionLast="47" xr6:coauthVersionMax="47" xr10:uidLastSave="{00000000-0000-0000-0000-000000000000}"/>
  <bookViews>
    <workbookView xWindow="30225" yWindow="1425" windowWidth="21600" windowHeight="11295" activeTab="1" xr2:uid="{1AF09240-5820-4011-9DE0-8E4D4131BB62}"/>
  </bookViews>
  <sheets>
    <sheet name="ORÇAMENTO GINÁSIO" sheetId="1" r:id="rId1"/>
    <sheet name="Cronograma Físico-Financeiro" sheetId="4" r:id="rId2"/>
  </sheets>
  <externalReferences>
    <externalReference r:id="rId3"/>
    <externalReference r:id="rId4"/>
    <externalReference r:id="rId5"/>
    <externalReference r:id="rId6"/>
  </externalReferences>
  <definedNames>
    <definedName name="ACOMPANHAMENTO" hidden="1">IF(VALUE(#REF!)=2,"BM","PLE")</definedName>
    <definedName name="_xlnm.Print_Area" localSheetId="1">'Cronograma Físico-Financeiro'!$A$1:$R$43</definedName>
    <definedName name="_xlnm.Print_Area" localSheetId="0">'ORÇAMENTO GINÁSIO'!$A$1:$J$836</definedName>
    <definedName name="BDI.Opcao" hidden="1">#REF!</definedName>
    <definedName name="BDI.TipoObra" hidden="1">#REF!</definedName>
    <definedName name="DESONERACAO" hidden="1">IF(OR(Import.Desoneracao="DESONERADO",Import.Desoneracao="SIM"),"SIM","NÃO")</definedName>
    <definedName name="Import.DataBase" hidden="1">OFFSET([1]DADOS!$D$19,0,-1)</definedName>
    <definedName name="Import.Desoneracao" hidden="1">OFFSET([2]DADOS!$G$18,0,-1)</definedName>
    <definedName name="ListaTgov.Unidades" hidden="1">[3]DADOS!$AQ$3:$AQ$220</definedName>
    <definedName name="ORÇAMENTO.BancoRef" localSheetId="1" hidden="1">'[4]Orcamento Administração'!$F$8</definedName>
    <definedName name="ORÇAMENTO.BancoRef" hidden="1">'ORÇAMENTO GINÁSIO'!$F$8</definedName>
    <definedName name="REFERENCIA.Descricao" localSheetId="1" hidden="1">IF(ISNUMBER('[4]Orcamento Administração'!$AF1),OFFSET(INDIRECT('Cronograma Físico-Financeiro'!ORÇAMENTO.BancoRef),'[4]Orcamento Administração'!$AF1-1,3,1),'[4]Orcamento Administração'!$AF1)</definedName>
    <definedName name="REFERENCIA.Descricao" hidden="1">IF(ISNUMBER('ORÇAMENTO GINÁSIO'!$AD1),OFFSET(INDIRECT(ORÇAMENTO.BancoRef),'ORÇAMENTO GINÁSIO'!$AD1-1,3,1),'ORÇAMENTO GINÁSIO'!$AD1)</definedName>
    <definedName name="REFERENCIA.Unidade" localSheetId="1" hidden="1">IF(ISNUMBER('[4]Orcamento Administração'!$AF1),OFFSET(INDIRECT('Cronograma Físico-Financeiro'!ORÇAMENTO.BancoRef),'[4]Orcamento Administração'!$AF1-1,4,1),"-")</definedName>
    <definedName name="REFERENCIA.Unidade" hidden="1">IF(ISNUMBER('ORÇAMENTO GINÁSIO'!$AD1),OFFSET(INDIRECT(ORÇAMENTO.BancoRef),'ORÇAMENTO GINÁSIO'!$AD1-1,4,1),"-")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6" i="4" l="1"/>
  <c r="N36" i="4"/>
  <c r="L36" i="4"/>
  <c r="J36" i="4"/>
  <c r="H36" i="4"/>
  <c r="F36" i="4"/>
  <c r="D36" i="4"/>
  <c r="I35" i="4"/>
  <c r="K35" i="4"/>
  <c r="M35" i="4"/>
  <c r="O35" i="4"/>
  <c r="O34" i="4"/>
  <c r="M34" i="4"/>
  <c r="K34" i="4"/>
  <c r="I33" i="4"/>
  <c r="G33" i="4"/>
  <c r="Q35" i="4"/>
  <c r="Q34" i="4"/>
  <c r="I34" i="4" s="1"/>
  <c r="Q33" i="4"/>
  <c r="Q32" i="4"/>
  <c r="B35" i="4"/>
  <c r="B34" i="4"/>
  <c r="B33" i="4"/>
  <c r="B32" i="4"/>
  <c r="B26" i="4"/>
  <c r="B25" i="4"/>
  <c r="B24" i="4"/>
  <c r="B23" i="4"/>
  <c r="B22" i="4"/>
  <c r="B21" i="4"/>
  <c r="B20" i="4"/>
  <c r="B19" i="4"/>
  <c r="B18" i="4"/>
  <c r="B17" i="4"/>
  <c r="B16" i="4"/>
  <c r="B15" i="4"/>
  <c r="B14" i="4"/>
  <c r="B13" i="4"/>
  <c r="B12" i="4"/>
  <c r="E36" i="4"/>
  <c r="R35" i="4"/>
  <c r="R34" i="4"/>
  <c r="R33" i="4"/>
  <c r="R32" i="4"/>
  <c r="E32" i="4"/>
  <c r="C32" i="4"/>
  <c r="C36" i="4" s="1"/>
  <c r="R26" i="4"/>
  <c r="Q26" i="4"/>
  <c r="R25" i="4"/>
  <c r="Q25" i="4"/>
  <c r="O25" i="4" s="1"/>
  <c r="R24" i="4"/>
  <c r="Q24" i="4"/>
  <c r="G24" i="4" s="1"/>
  <c r="E24" i="4"/>
  <c r="R23" i="4"/>
  <c r="Q23" i="4"/>
  <c r="O23" i="4" s="1"/>
  <c r="R22" i="4"/>
  <c r="Q22" i="4"/>
  <c r="I22" i="4" s="1"/>
  <c r="R21" i="4"/>
  <c r="Q21" i="4"/>
  <c r="O21" i="4" s="1"/>
  <c r="R20" i="4"/>
  <c r="Q20" i="4"/>
  <c r="O20" i="4" s="1"/>
  <c r="R19" i="4"/>
  <c r="Q19" i="4"/>
  <c r="M19" i="4" s="1"/>
  <c r="R18" i="4"/>
  <c r="Q18" i="4"/>
  <c r="M18" i="4" s="1"/>
  <c r="R17" i="4"/>
  <c r="Q17" i="4"/>
  <c r="I17" i="4" s="1"/>
  <c r="R16" i="4"/>
  <c r="Q16" i="4"/>
  <c r="K16" i="4" s="1"/>
  <c r="R15" i="4"/>
  <c r="Q15" i="4"/>
  <c r="I15" i="4" s="1"/>
  <c r="R14" i="4"/>
  <c r="Q14" i="4"/>
  <c r="I14" i="4" s="1"/>
  <c r="R13" i="4"/>
  <c r="Q13" i="4"/>
  <c r="C13" i="4" s="1"/>
  <c r="R12" i="4"/>
  <c r="Q12" i="4"/>
  <c r="O12" i="4" s="1"/>
  <c r="K17" i="4" l="1"/>
  <c r="K18" i="4"/>
  <c r="G36" i="4"/>
  <c r="K22" i="4"/>
  <c r="M22" i="4"/>
  <c r="M16" i="4"/>
  <c r="Q36" i="4"/>
  <c r="C37" i="4"/>
  <c r="E37" i="4" s="1"/>
  <c r="G37" i="4" s="1"/>
  <c r="O36" i="4"/>
  <c r="M25" i="4"/>
  <c r="I36" i="4"/>
  <c r="K36" i="4"/>
  <c r="M36" i="4"/>
  <c r="G14" i="4"/>
  <c r="G12" i="4"/>
  <c r="G27" i="4" s="1"/>
  <c r="E12" i="4"/>
  <c r="K12" i="4"/>
  <c r="M12" i="4"/>
  <c r="C12" i="4"/>
  <c r="I12" i="4"/>
  <c r="E27" i="4"/>
  <c r="O22" i="4"/>
  <c r="O27" i="4" s="1"/>
  <c r="M20" i="4"/>
  <c r="C27" i="4"/>
  <c r="K19" i="4"/>
  <c r="K15" i="4"/>
  <c r="Q27" i="4"/>
  <c r="F27" i="4" s="1"/>
  <c r="I21" i="4"/>
  <c r="K21" i="4"/>
  <c r="M21" i="4"/>
  <c r="D27" i="4" l="1"/>
  <c r="D28" i="4" s="1"/>
  <c r="C28" i="4"/>
  <c r="E28" i="4" s="1"/>
  <c r="G28" i="4" s="1"/>
  <c r="I37" i="4"/>
  <c r="K37" i="4" s="1"/>
  <c r="M37" i="4" s="1"/>
  <c r="O37" i="4" s="1"/>
  <c r="R36" i="4" s="1"/>
  <c r="D37" i="4"/>
  <c r="F37" i="4" s="1"/>
  <c r="H37" i="4" s="1"/>
  <c r="J37" i="4" s="1"/>
  <c r="L37" i="4" s="1"/>
  <c r="P27" i="4"/>
  <c r="H27" i="4"/>
  <c r="K27" i="4"/>
  <c r="L27" i="4" s="1"/>
  <c r="I27" i="4"/>
  <c r="J27" i="4" s="1"/>
  <c r="M27" i="4"/>
  <c r="N27" i="4" s="1"/>
  <c r="I28" i="4"/>
  <c r="K28" i="4" s="1"/>
  <c r="F28" i="4"/>
  <c r="H28" i="4" s="1"/>
  <c r="J28" i="4" s="1"/>
  <c r="L28" i="4" s="1"/>
  <c r="N37" i="4" l="1"/>
  <c r="P37" i="4" s="1"/>
  <c r="N28" i="4"/>
  <c r="P28" i="4" s="1"/>
  <c r="M28" i="4"/>
  <c r="O28" i="4" s="1"/>
  <c r="R27" i="4" s="1"/>
  <c r="J830" i="1" l="1"/>
  <c r="J814" i="1"/>
  <c r="I810" i="1"/>
  <c r="J810" i="1" s="1"/>
  <c r="I805" i="1"/>
  <c r="I804" i="1"/>
  <c r="I803" i="1"/>
  <c r="I802" i="1"/>
  <c r="J802" i="1" s="1"/>
  <c r="I801" i="1"/>
  <c r="J801" i="1" s="1"/>
  <c r="I800" i="1"/>
  <c r="I799" i="1"/>
  <c r="I798" i="1"/>
  <c r="I797" i="1"/>
  <c r="I793" i="1"/>
  <c r="J793" i="1" s="1"/>
  <c r="I792" i="1"/>
  <c r="I791" i="1"/>
  <c r="I790" i="1"/>
  <c r="I789" i="1"/>
  <c r="I786" i="1"/>
  <c r="I784" i="1"/>
  <c r="J784" i="1" s="1"/>
  <c r="I782" i="1"/>
  <c r="I781" i="1"/>
  <c r="I780" i="1"/>
  <c r="I779" i="1"/>
  <c r="I776" i="1"/>
  <c r="I775" i="1"/>
  <c r="I772" i="1"/>
  <c r="J772" i="1" s="1"/>
  <c r="I770" i="1"/>
  <c r="I769" i="1"/>
  <c r="I768" i="1"/>
  <c r="I767" i="1"/>
  <c r="I764" i="1"/>
  <c r="J764" i="1" s="1"/>
  <c r="I763" i="1"/>
  <c r="J763" i="1" s="1"/>
  <c r="I762" i="1"/>
  <c r="J762" i="1" s="1"/>
  <c r="I761" i="1"/>
  <c r="I760" i="1"/>
  <c r="I759" i="1"/>
  <c r="I758" i="1"/>
  <c r="I756" i="1"/>
  <c r="J756" i="1" s="1"/>
  <c r="I755" i="1"/>
  <c r="I754" i="1"/>
  <c r="I753" i="1"/>
  <c r="I752" i="1"/>
  <c r="I825" i="1"/>
  <c r="J825" i="1" s="1"/>
  <c r="I824" i="1"/>
  <c r="J824" i="1" s="1"/>
  <c r="I823" i="1"/>
  <c r="J823" i="1" s="1"/>
  <c r="I828" i="1"/>
  <c r="J828" i="1" s="1"/>
  <c r="I827" i="1"/>
  <c r="J827" i="1" s="1"/>
  <c r="I826" i="1"/>
  <c r="J826" i="1" s="1"/>
  <c r="I822" i="1"/>
  <c r="J822" i="1" s="1"/>
  <c r="I821" i="1"/>
  <c r="J821" i="1" s="1"/>
  <c r="I820" i="1"/>
  <c r="I819" i="1"/>
  <c r="J819" i="1" s="1"/>
  <c r="I818" i="1"/>
  <c r="I817" i="1"/>
  <c r="J817" i="1" s="1"/>
  <c r="I816" i="1"/>
  <c r="I809" i="1"/>
  <c r="J809" i="1" s="1"/>
  <c r="I812" i="1"/>
  <c r="J812" i="1" s="1"/>
  <c r="I811" i="1"/>
  <c r="J811" i="1" s="1"/>
  <c r="I808" i="1"/>
  <c r="J808" i="1" s="1"/>
  <c r="I807" i="1"/>
  <c r="J807" i="1" s="1"/>
  <c r="I806" i="1"/>
  <c r="I794" i="1"/>
  <c r="J794" i="1" s="1"/>
  <c r="I785" i="1"/>
  <c r="I783" i="1"/>
  <c r="J783" i="1" s="1"/>
  <c r="I774" i="1"/>
  <c r="I773" i="1"/>
  <c r="I771" i="1"/>
  <c r="J771" i="1" s="1"/>
  <c r="I757" i="1"/>
  <c r="J757" i="1" s="1"/>
  <c r="I748" i="1"/>
  <c r="J748" i="1" s="1"/>
  <c r="I747" i="1"/>
  <c r="J747" i="1" s="1"/>
  <c r="I746" i="1"/>
  <c r="J746" i="1" s="1"/>
  <c r="I745" i="1"/>
  <c r="I744" i="1"/>
  <c r="I743" i="1"/>
  <c r="I742" i="1"/>
  <c r="I749" i="1"/>
  <c r="J749" i="1" s="1"/>
  <c r="I741" i="1"/>
  <c r="I740" i="1"/>
  <c r="I739" i="1"/>
  <c r="I738" i="1"/>
  <c r="I737" i="1"/>
  <c r="I736" i="1"/>
  <c r="I733" i="1"/>
  <c r="J733" i="1" s="1"/>
  <c r="I732" i="1"/>
  <c r="J732" i="1" s="1"/>
  <c r="I731" i="1"/>
  <c r="I730" i="1"/>
  <c r="I729" i="1"/>
  <c r="I728" i="1"/>
  <c r="I727" i="1"/>
  <c r="J727" i="1" s="1"/>
  <c r="I726" i="1"/>
  <c r="J726" i="1" s="1"/>
  <c r="I489" i="1"/>
  <c r="I491" i="1"/>
  <c r="J491" i="1" s="1"/>
  <c r="I492" i="1"/>
  <c r="J492" i="1" s="1"/>
  <c r="I493" i="1"/>
  <c r="I494" i="1"/>
  <c r="I499" i="1"/>
  <c r="I500" i="1"/>
  <c r="J500" i="1" s="1"/>
  <c r="I501" i="1"/>
  <c r="J501" i="1" s="1"/>
  <c r="I512" i="1"/>
  <c r="I513" i="1"/>
  <c r="J513" i="1" s="1"/>
  <c r="I520" i="1"/>
  <c r="J520" i="1" s="1"/>
  <c r="I521" i="1"/>
  <c r="I522" i="1"/>
  <c r="J522" i="1" s="1"/>
  <c r="I527" i="1"/>
  <c r="J527" i="1" s="1"/>
  <c r="I528" i="1"/>
  <c r="I531" i="1"/>
  <c r="J531" i="1" s="1"/>
  <c r="I532" i="1"/>
  <c r="J532" i="1" s="1"/>
  <c r="I533" i="1"/>
  <c r="J533" i="1" s="1"/>
  <c r="I534" i="1"/>
  <c r="J534" i="1" s="1"/>
  <c r="I535" i="1"/>
  <c r="J535" i="1" s="1"/>
  <c r="I545" i="1"/>
  <c r="J545" i="1" s="1"/>
  <c r="I546" i="1"/>
  <c r="J546" i="1" s="1"/>
  <c r="I547" i="1"/>
  <c r="J547" i="1" s="1"/>
  <c r="I550" i="1"/>
  <c r="J550" i="1" s="1"/>
  <c r="I562" i="1"/>
  <c r="J562" i="1" s="1"/>
  <c r="I563" i="1"/>
  <c r="J563" i="1" s="1"/>
  <c r="I564" i="1"/>
  <c r="I565" i="1"/>
  <c r="J565" i="1" s="1"/>
  <c r="I566" i="1"/>
  <c r="J566" i="1" s="1"/>
  <c r="I567" i="1"/>
  <c r="J567" i="1" s="1"/>
  <c r="I568" i="1"/>
  <c r="J568" i="1" s="1"/>
  <c r="I572" i="1"/>
  <c r="I573" i="1"/>
  <c r="I574" i="1"/>
  <c r="J574" i="1" s="1"/>
  <c r="I586" i="1"/>
  <c r="J586" i="1" s="1"/>
  <c r="I587" i="1"/>
  <c r="J587" i="1" s="1"/>
  <c r="I588" i="1"/>
  <c r="J588" i="1" s="1"/>
  <c r="I589" i="1"/>
  <c r="J589" i="1" s="1"/>
  <c r="I592" i="1"/>
  <c r="I593" i="1"/>
  <c r="J593" i="1" s="1"/>
  <c r="I594" i="1"/>
  <c r="J594" i="1" s="1"/>
  <c r="I596" i="1"/>
  <c r="I597" i="1"/>
  <c r="J597" i="1" s="1"/>
  <c r="I598" i="1"/>
  <c r="J598" i="1" s="1"/>
  <c r="I600" i="1"/>
  <c r="I611" i="1"/>
  <c r="I620" i="1"/>
  <c r="I621" i="1"/>
  <c r="I626" i="1"/>
  <c r="J626" i="1" s="1"/>
  <c r="I629" i="1"/>
  <c r="I630" i="1"/>
  <c r="J630" i="1" s="1"/>
  <c r="I631" i="1"/>
  <c r="I632" i="1"/>
  <c r="I633" i="1"/>
  <c r="I634" i="1"/>
  <c r="J634" i="1" s="1"/>
  <c r="I636" i="1"/>
  <c r="J636" i="1" s="1"/>
  <c r="I639" i="1"/>
  <c r="I643" i="1"/>
  <c r="J643" i="1" s="1"/>
  <c r="I644" i="1"/>
  <c r="I645" i="1"/>
  <c r="J645" i="1" s="1"/>
  <c r="I646" i="1"/>
  <c r="J646" i="1" s="1"/>
  <c r="I653" i="1"/>
  <c r="I654" i="1"/>
  <c r="I655" i="1"/>
  <c r="I656" i="1"/>
  <c r="J656" i="1" s="1"/>
  <c r="I664" i="1"/>
  <c r="I666" i="1"/>
  <c r="I667" i="1"/>
  <c r="I671" i="1"/>
  <c r="J671" i="1" s="1"/>
  <c r="I672" i="1"/>
  <c r="J672" i="1" s="1"/>
  <c r="I673" i="1"/>
  <c r="J673" i="1" s="1"/>
  <c r="I674" i="1"/>
  <c r="J674" i="1" s="1"/>
  <c r="I680" i="1"/>
  <c r="I688" i="1"/>
  <c r="J688" i="1" s="1"/>
  <c r="I691" i="1"/>
  <c r="I694" i="1"/>
  <c r="I695" i="1"/>
  <c r="I696" i="1"/>
  <c r="I697" i="1"/>
  <c r="J697" i="1" s="1"/>
  <c r="I706" i="1"/>
  <c r="I707" i="1"/>
  <c r="J707" i="1" s="1"/>
  <c r="I708" i="1"/>
  <c r="J708" i="1" s="1"/>
  <c r="I709" i="1"/>
  <c r="I710" i="1"/>
  <c r="I713" i="1"/>
  <c r="I714" i="1"/>
  <c r="I715" i="1"/>
  <c r="J715" i="1" s="1"/>
  <c r="I716" i="1"/>
  <c r="I705" i="1"/>
  <c r="J705" i="1" s="1"/>
  <c r="I704" i="1"/>
  <c r="I698" i="1"/>
  <c r="I693" i="1"/>
  <c r="I687" i="1"/>
  <c r="I686" i="1"/>
  <c r="J686" i="1" s="1"/>
  <c r="I685" i="1"/>
  <c r="I677" i="1"/>
  <c r="J677" i="1" s="1"/>
  <c r="I676" i="1"/>
  <c r="J676" i="1" s="1"/>
  <c r="I675" i="1"/>
  <c r="J675" i="1" s="1"/>
  <c r="I661" i="1"/>
  <c r="I658" i="1"/>
  <c r="I657" i="1"/>
  <c r="I642" i="1"/>
  <c r="J642" i="1" s="1"/>
  <c r="I641" i="1"/>
  <c r="I640" i="1"/>
  <c r="I635" i="1"/>
  <c r="I622" i="1"/>
  <c r="I619" i="1"/>
  <c r="I618" i="1"/>
  <c r="I607" i="1"/>
  <c r="I599" i="1"/>
  <c r="J599" i="1" s="1"/>
  <c r="I585" i="1"/>
  <c r="J585" i="1" s="1"/>
  <c r="I571" i="1"/>
  <c r="I560" i="1"/>
  <c r="J560" i="1" s="1"/>
  <c r="I554" i="1"/>
  <c r="J554" i="1" s="1"/>
  <c r="I553" i="1"/>
  <c r="J553" i="1" s="1"/>
  <c r="I552" i="1"/>
  <c r="J552" i="1" s="1"/>
  <c r="I551" i="1"/>
  <c r="J551" i="1" s="1"/>
  <c r="I544" i="1"/>
  <c r="J544" i="1" s="1"/>
  <c r="I543" i="1"/>
  <c r="J543" i="1" s="1"/>
  <c r="I542" i="1"/>
  <c r="J542" i="1" s="1"/>
  <c r="I539" i="1"/>
  <c r="J539" i="1" s="1"/>
  <c r="I536" i="1"/>
  <c r="J536" i="1" s="1"/>
  <c r="I524" i="1"/>
  <c r="I523" i="1"/>
  <c r="J523" i="1" s="1"/>
  <c r="I519" i="1"/>
  <c r="J519" i="1" s="1"/>
  <c r="I510" i="1"/>
  <c r="J510" i="1" s="1"/>
  <c r="I509" i="1"/>
  <c r="J509" i="1" s="1"/>
  <c r="I503" i="1"/>
  <c r="I502" i="1"/>
  <c r="I496" i="1"/>
  <c r="J496" i="1" s="1"/>
  <c r="I490" i="1"/>
  <c r="J490" i="1" s="1"/>
  <c r="I488" i="1"/>
  <c r="I487" i="1"/>
  <c r="I486" i="1"/>
  <c r="I721" i="1"/>
  <c r="J721" i="1" s="1"/>
  <c r="I720" i="1"/>
  <c r="I719" i="1"/>
  <c r="J719" i="1" s="1"/>
  <c r="I718" i="1"/>
  <c r="J718" i="1" s="1"/>
  <c r="I717" i="1"/>
  <c r="J717" i="1" s="1"/>
  <c r="I703" i="1"/>
  <c r="I702" i="1"/>
  <c r="I699" i="1"/>
  <c r="I692" i="1"/>
  <c r="I684" i="1"/>
  <c r="J684" i="1" s="1"/>
  <c r="I683" i="1"/>
  <c r="I682" i="1"/>
  <c r="I681" i="1"/>
  <c r="I668" i="1"/>
  <c r="I665" i="1"/>
  <c r="J665" i="1" s="1"/>
  <c r="I663" i="1"/>
  <c r="I662" i="1"/>
  <c r="I652" i="1"/>
  <c r="I651" i="1"/>
  <c r="I650" i="1"/>
  <c r="I647" i="1"/>
  <c r="J647" i="1" s="1"/>
  <c r="I625" i="1"/>
  <c r="J625" i="1" s="1"/>
  <c r="I624" i="1"/>
  <c r="I623" i="1"/>
  <c r="I617" i="1"/>
  <c r="I616" i="1"/>
  <c r="I610" i="1"/>
  <c r="J610" i="1" s="1"/>
  <c r="I609" i="1"/>
  <c r="J609" i="1" s="1"/>
  <c r="I608" i="1"/>
  <c r="J608" i="1" s="1"/>
  <c r="I606" i="1"/>
  <c r="I605" i="1"/>
  <c r="I604" i="1"/>
  <c r="I603" i="1"/>
  <c r="I595" i="1"/>
  <c r="I584" i="1"/>
  <c r="J584" i="1" s="1"/>
  <c r="I583" i="1"/>
  <c r="J583" i="1" s="1"/>
  <c r="I582" i="1"/>
  <c r="J582" i="1" s="1"/>
  <c r="I579" i="1"/>
  <c r="J579" i="1" s="1"/>
  <c r="I578" i="1"/>
  <c r="J578" i="1" s="1"/>
  <c r="I577" i="1"/>
  <c r="J577" i="1" s="1"/>
  <c r="I576" i="1"/>
  <c r="J576" i="1" s="1"/>
  <c r="I575" i="1"/>
  <c r="I561" i="1"/>
  <c r="J561" i="1" s="1"/>
  <c r="I557" i="1"/>
  <c r="J557" i="1" s="1"/>
  <c r="I556" i="1"/>
  <c r="J556" i="1" s="1"/>
  <c r="I555" i="1"/>
  <c r="I538" i="1"/>
  <c r="J538" i="1" s="1"/>
  <c r="I537" i="1"/>
  <c r="J537" i="1" s="1"/>
  <c r="I526" i="1"/>
  <c r="I525" i="1"/>
  <c r="I516" i="1"/>
  <c r="J516" i="1" s="1"/>
  <c r="I515" i="1"/>
  <c r="J515" i="1" s="1"/>
  <c r="I514" i="1"/>
  <c r="I511" i="1"/>
  <c r="I506" i="1"/>
  <c r="I505" i="1"/>
  <c r="I504" i="1"/>
  <c r="J504" i="1" s="1"/>
  <c r="I495" i="1"/>
  <c r="J495" i="1" s="1"/>
  <c r="I473" i="1"/>
  <c r="J473" i="1" s="1"/>
  <c r="I474" i="1"/>
  <c r="I475" i="1"/>
  <c r="J475" i="1" s="1"/>
  <c r="I450" i="1"/>
  <c r="J450" i="1" s="1"/>
  <c r="I451" i="1"/>
  <c r="I457" i="1"/>
  <c r="J457" i="1" s="1"/>
  <c r="I459" i="1"/>
  <c r="I460" i="1"/>
  <c r="J460" i="1" s="1"/>
  <c r="I465" i="1"/>
  <c r="I466" i="1"/>
  <c r="I467" i="1"/>
  <c r="I417" i="1"/>
  <c r="J417" i="1" s="1"/>
  <c r="I418" i="1"/>
  <c r="I419" i="1"/>
  <c r="I426" i="1"/>
  <c r="I427" i="1"/>
  <c r="I428" i="1"/>
  <c r="I429" i="1"/>
  <c r="I430" i="1"/>
  <c r="I399" i="1"/>
  <c r="I400" i="1"/>
  <c r="J400" i="1" s="1"/>
  <c r="I401" i="1"/>
  <c r="J401" i="1" s="1"/>
  <c r="I402" i="1"/>
  <c r="J402" i="1" s="1"/>
  <c r="I403" i="1"/>
  <c r="J403" i="1" s="1"/>
  <c r="I382" i="1"/>
  <c r="J382" i="1" s="1"/>
  <c r="I372" i="1"/>
  <c r="J372" i="1" s="1"/>
  <c r="I373" i="1"/>
  <c r="J373" i="1" s="1"/>
  <c r="I356" i="1"/>
  <c r="I325" i="1"/>
  <c r="I293" i="1"/>
  <c r="J293" i="1" s="1"/>
  <c r="I294" i="1"/>
  <c r="J294" i="1" s="1"/>
  <c r="I295" i="1"/>
  <c r="J295" i="1" s="1"/>
  <c r="I301" i="1"/>
  <c r="J301" i="1" s="1"/>
  <c r="I302" i="1"/>
  <c r="J302" i="1" s="1"/>
  <c r="I303" i="1"/>
  <c r="J303" i="1" s="1"/>
  <c r="I304" i="1"/>
  <c r="J304" i="1" s="1"/>
  <c r="I305" i="1"/>
  <c r="J305" i="1" s="1"/>
  <c r="I306" i="1"/>
  <c r="J306" i="1" s="1"/>
  <c r="I307" i="1"/>
  <c r="J307" i="1" s="1"/>
  <c r="I308" i="1"/>
  <c r="J308" i="1" s="1"/>
  <c r="I309" i="1"/>
  <c r="J309" i="1" s="1"/>
  <c r="I310" i="1"/>
  <c r="J310" i="1" s="1"/>
  <c r="I312" i="1"/>
  <c r="I313" i="1"/>
  <c r="J313" i="1" s="1"/>
  <c r="I269" i="1"/>
  <c r="J269" i="1" s="1"/>
  <c r="I249" i="1"/>
  <c r="I250" i="1"/>
  <c r="I251" i="1"/>
  <c r="I237" i="1"/>
  <c r="I238" i="1"/>
  <c r="I219" i="1"/>
  <c r="I191" i="1"/>
  <c r="J191" i="1" s="1"/>
  <c r="I192" i="1"/>
  <c r="J192" i="1" s="1"/>
  <c r="I159" i="1"/>
  <c r="I160" i="1"/>
  <c r="I161" i="1"/>
  <c r="I140" i="1"/>
  <c r="J140" i="1" s="1"/>
  <c r="I141" i="1"/>
  <c r="J141" i="1" s="1"/>
  <c r="I142" i="1"/>
  <c r="J142" i="1" s="1"/>
  <c r="I143" i="1"/>
  <c r="J143" i="1" s="1"/>
  <c r="I144" i="1"/>
  <c r="J144" i="1" s="1"/>
  <c r="I108" i="1"/>
  <c r="J108" i="1" s="1"/>
  <c r="I109" i="1"/>
  <c r="I112" i="1"/>
  <c r="I90" i="1"/>
  <c r="I91" i="1"/>
  <c r="I92" i="1"/>
  <c r="J92" i="1" s="1"/>
  <c r="I93" i="1"/>
  <c r="J93" i="1" s="1"/>
  <c r="I64" i="1"/>
  <c r="J64" i="1" s="1"/>
  <c r="I65" i="1"/>
  <c r="J65" i="1" s="1"/>
  <c r="I66" i="1"/>
  <c r="J66" i="1" s="1"/>
  <c r="I67" i="1"/>
  <c r="J67" i="1" s="1"/>
  <c r="I68" i="1"/>
  <c r="J68" i="1" s="1"/>
  <c r="I69" i="1"/>
  <c r="J69" i="1" s="1"/>
  <c r="I70" i="1"/>
  <c r="J70" i="1" s="1"/>
  <c r="I71" i="1"/>
  <c r="I72" i="1"/>
  <c r="I73" i="1"/>
  <c r="I74" i="1"/>
  <c r="I75" i="1"/>
  <c r="I76" i="1"/>
  <c r="I61" i="1"/>
  <c r="I62" i="1"/>
  <c r="I63" i="1"/>
  <c r="J63" i="1" s="1"/>
  <c r="I32" i="1"/>
  <c r="I33" i="1"/>
  <c r="I34" i="1"/>
  <c r="J34" i="1" s="1"/>
  <c r="I35" i="1"/>
  <c r="J35" i="1" s="1"/>
  <c r="I36" i="1"/>
  <c r="J36" i="1" s="1"/>
  <c r="I37" i="1"/>
  <c r="J37" i="1" s="1"/>
  <c r="I38" i="1"/>
  <c r="J38" i="1" s="1"/>
  <c r="I39" i="1"/>
  <c r="J39" i="1" s="1"/>
  <c r="I40" i="1"/>
  <c r="J40" i="1" s="1"/>
  <c r="I43" i="1"/>
  <c r="I45" i="1"/>
  <c r="I46" i="1"/>
  <c r="I47" i="1"/>
  <c r="I48" i="1"/>
  <c r="I49" i="1"/>
  <c r="I482" i="1"/>
  <c r="J482" i="1" s="1"/>
  <c r="J483" i="1" s="1"/>
  <c r="I479" i="1"/>
  <c r="J479" i="1" s="1"/>
  <c r="I478" i="1"/>
  <c r="J478" i="1" s="1"/>
  <c r="I477" i="1"/>
  <c r="J477" i="1" s="1"/>
  <c r="I476" i="1"/>
  <c r="F476" i="1"/>
  <c r="F474" i="1"/>
  <c r="I472" i="1"/>
  <c r="F472" i="1"/>
  <c r="D472" i="1"/>
  <c r="C472" i="1"/>
  <c r="I471" i="1"/>
  <c r="J471" i="1" s="1"/>
  <c r="I470" i="1"/>
  <c r="F470" i="1"/>
  <c r="I464" i="1"/>
  <c r="I463" i="1"/>
  <c r="I462" i="1"/>
  <c r="F462" i="1"/>
  <c r="F463" i="1" s="1"/>
  <c r="I461" i="1"/>
  <c r="F461" i="1"/>
  <c r="F459" i="1"/>
  <c r="D459" i="1"/>
  <c r="C459" i="1"/>
  <c r="F458" i="1"/>
  <c r="D458" i="1"/>
  <c r="C458" i="1"/>
  <c r="D457" i="1"/>
  <c r="C457" i="1"/>
  <c r="I456" i="1"/>
  <c r="J456" i="1" s="1"/>
  <c r="I455" i="1"/>
  <c r="F455" i="1"/>
  <c r="F454" i="1" s="1"/>
  <c r="I454" i="1"/>
  <c r="D454" i="1"/>
  <c r="C454" i="1"/>
  <c r="I453" i="1"/>
  <c r="F453" i="1"/>
  <c r="D453" i="1"/>
  <c r="C453" i="1"/>
  <c r="I452" i="1"/>
  <c r="F452" i="1"/>
  <c r="D452" i="1"/>
  <c r="C452" i="1"/>
  <c r="F451" i="1"/>
  <c r="D451" i="1"/>
  <c r="C451" i="1"/>
  <c r="D450" i="1"/>
  <c r="C450" i="1"/>
  <c r="I449" i="1"/>
  <c r="F449" i="1"/>
  <c r="D449" i="1"/>
  <c r="C449" i="1"/>
  <c r="I448" i="1"/>
  <c r="F448" i="1"/>
  <c r="D448" i="1"/>
  <c r="C448" i="1"/>
  <c r="I447" i="1"/>
  <c r="J447" i="1" s="1"/>
  <c r="D447" i="1"/>
  <c r="C447" i="1"/>
  <c r="I446" i="1"/>
  <c r="F446" i="1"/>
  <c r="I445" i="1"/>
  <c r="F445" i="1"/>
  <c r="I444" i="1"/>
  <c r="F444" i="1"/>
  <c r="I441" i="1"/>
  <c r="J441" i="1" s="1"/>
  <c r="D441" i="1"/>
  <c r="I440" i="1"/>
  <c r="F440" i="1"/>
  <c r="D440" i="1"/>
  <c r="I439" i="1"/>
  <c r="J439" i="1" s="1"/>
  <c r="D439" i="1"/>
  <c r="I438" i="1"/>
  <c r="J438" i="1" s="1"/>
  <c r="D438" i="1"/>
  <c r="I437" i="1"/>
  <c r="J437" i="1" s="1"/>
  <c r="D437" i="1"/>
  <c r="I436" i="1"/>
  <c r="J436" i="1" s="1"/>
  <c r="D436" i="1"/>
  <c r="I435" i="1"/>
  <c r="J435" i="1" s="1"/>
  <c r="D435" i="1"/>
  <c r="I434" i="1"/>
  <c r="J434" i="1" s="1"/>
  <c r="D434" i="1"/>
  <c r="C434" i="1"/>
  <c r="F426" i="1"/>
  <c r="I425" i="1"/>
  <c r="J425" i="1" s="1"/>
  <c r="D425" i="1"/>
  <c r="C425" i="1"/>
  <c r="I424" i="1"/>
  <c r="J424" i="1" s="1"/>
  <c r="I423" i="1"/>
  <c r="J423" i="1" s="1"/>
  <c r="D423" i="1"/>
  <c r="C423" i="1"/>
  <c r="I422" i="1"/>
  <c r="J422" i="1" s="1"/>
  <c r="I421" i="1"/>
  <c r="F421" i="1"/>
  <c r="I420" i="1"/>
  <c r="D420" i="1"/>
  <c r="C420" i="1"/>
  <c r="F419" i="1"/>
  <c r="F418" i="1"/>
  <c r="F420" i="1" s="1"/>
  <c r="I416" i="1"/>
  <c r="J416" i="1" s="1"/>
  <c r="I415" i="1"/>
  <c r="J415" i="1" s="1"/>
  <c r="D415" i="1"/>
  <c r="C415" i="1"/>
  <c r="I414" i="1"/>
  <c r="F414" i="1"/>
  <c r="D414" i="1"/>
  <c r="C414" i="1"/>
  <c r="I413" i="1"/>
  <c r="J413" i="1" s="1"/>
  <c r="I412" i="1"/>
  <c r="F412" i="1"/>
  <c r="D412" i="1"/>
  <c r="C412" i="1"/>
  <c r="I411" i="1"/>
  <c r="F411" i="1"/>
  <c r="D411" i="1"/>
  <c r="C411" i="1"/>
  <c r="I408" i="1"/>
  <c r="F408" i="1"/>
  <c r="F406" i="1" s="1"/>
  <c r="I407" i="1"/>
  <c r="I406" i="1"/>
  <c r="I405" i="1"/>
  <c r="I404" i="1"/>
  <c r="F404" i="1"/>
  <c r="D403" i="1"/>
  <c r="C403" i="1"/>
  <c r="D400" i="1"/>
  <c r="C400" i="1"/>
  <c r="F399" i="1"/>
  <c r="I398" i="1"/>
  <c r="F398" i="1"/>
  <c r="I397" i="1"/>
  <c r="I396" i="1"/>
  <c r="F396" i="1"/>
  <c r="I395" i="1"/>
  <c r="F395" i="1"/>
  <c r="F397" i="1" s="1"/>
  <c r="I394" i="1"/>
  <c r="J394" i="1" s="1"/>
  <c r="D394" i="1"/>
  <c r="C394" i="1"/>
  <c r="I393" i="1"/>
  <c r="J393" i="1" s="1"/>
  <c r="I392" i="1"/>
  <c r="J392" i="1" s="1"/>
  <c r="I391" i="1"/>
  <c r="J391" i="1" s="1"/>
  <c r="D391" i="1"/>
  <c r="C391" i="1"/>
  <c r="I390" i="1"/>
  <c r="F390" i="1"/>
  <c r="D390" i="1"/>
  <c r="C390" i="1"/>
  <c r="I389" i="1"/>
  <c r="J389" i="1" s="1"/>
  <c r="I388" i="1"/>
  <c r="F388" i="1"/>
  <c r="D388" i="1"/>
  <c r="C388" i="1"/>
  <c r="I387" i="1"/>
  <c r="F387" i="1"/>
  <c r="D387" i="1"/>
  <c r="C387" i="1"/>
  <c r="D382" i="1"/>
  <c r="C382" i="1"/>
  <c r="I381" i="1"/>
  <c r="J381" i="1" s="1"/>
  <c r="D381" i="1"/>
  <c r="C381" i="1"/>
  <c r="I380" i="1"/>
  <c r="J380" i="1" s="1"/>
  <c r="D380" i="1"/>
  <c r="C380" i="1"/>
  <c r="I379" i="1"/>
  <c r="F379" i="1"/>
  <c r="D379" i="1"/>
  <c r="C379" i="1"/>
  <c r="I378" i="1"/>
  <c r="F378" i="1"/>
  <c r="D378" i="1"/>
  <c r="C378" i="1"/>
  <c r="I377" i="1"/>
  <c r="F377" i="1"/>
  <c r="D377" i="1"/>
  <c r="C377" i="1"/>
  <c r="I376" i="1"/>
  <c r="F376" i="1"/>
  <c r="D376" i="1"/>
  <c r="C376" i="1"/>
  <c r="D373" i="1"/>
  <c r="C373" i="1"/>
  <c r="D372" i="1"/>
  <c r="C372" i="1"/>
  <c r="I371" i="1"/>
  <c r="J371" i="1" s="1"/>
  <c r="D371" i="1"/>
  <c r="C371" i="1"/>
  <c r="I370" i="1"/>
  <c r="F370" i="1"/>
  <c r="D370" i="1"/>
  <c r="C370" i="1"/>
  <c r="I369" i="1"/>
  <c r="F369" i="1"/>
  <c r="D369" i="1"/>
  <c r="C369" i="1"/>
  <c r="I368" i="1"/>
  <c r="F368" i="1"/>
  <c r="D368" i="1"/>
  <c r="C368" i="1"/>
  <c r="I367" i="1"/>
  <c r="F367" i="1"/>
  <c r="D367" i="1"/>
  <c r="C367" i="1"/>
  <c r="I366" i="1"/>
  <c r="J366" i="1" s="1"/>
  <c r="I365" i="1"/>
  <c r="J365" i="1" s="1"/>
  <c r="I361" i="1"/>
  <c r="J361" i="1" s="1"/>
  <c r="J362" i="1" s="1"/>
  <c r="I357" i="1"/>
  <c r="J357" i="1" s="1"/>
  <c r="D357" i="1"/>
  <c r="C357" i="1"/>
  <c r="F356" i="1"/>
  <c r="I355" i="1"/>
  <c r="F355" i="1"/>
  <c r="I354" i="1"/>
  <c r="J354" i="1" s="1"/>
  <c r="I353" i="1"/>
  <c r="J353" i="1" s="1"/>
  <c r="I352" i="1"/>
  <c r="J352" i="1" s="1"/>
  <c r="I351" i="1"/>
  <c r="J351" i="1" s="1"/>
  <c r="I348" i="1"/>
  <c r="I347" i="1"/>
  <c r="I346" i="1"/>
  <c r="I345" i="1"/>
  <c r="I344" i="1"/>
  <c r="I343" i="1"/>
  <c r="F343" i="1"/>
  <c r="F344" i="1" s="1"/>
  <c r="F345" i="1" s="1"/>
  <c r="I338" i="1"/>
  <c r="F338" i="1"/>
  <c r="I337" i="1"/>
  <c r="F337" i="1"/>
  <c r="I336" i="1"/>
  <c r="J336" i="1" s="1"/>
  <c r="I333" i="1"/>
  <c r="J333" i="1" s="1"/>
  <c r="I332" i="1"/>
  <c r="F332" i="1"/>
  <c r="I331" i="1"/>
  <c r="F331" i="1"/>
  <c r="D331" i="1"/>
  <c r="C331" i="1"/>
  <c r="I328" i="1"/>
  <c r="J328" i="1" s="1"/>
  <c r="J329" i="1" s="1"/>
  <c r="I324" i="1"/>
  <c r="I323" i="1"/>
  <c r="I322" i="1"/>
  <c r="I321" i="1"/>
  <c r="I320" i="1"/>
  <c r="F320" i="1"/>
  <c r="I319" i="1"/>
  <c r="F319" i="1"/>
  <c r="I318" i="1"/>
  <c r="F318" i="1"/>
  <c r="F321" i="1" s="1"/>
  <c r="D313" i="1"/>
  <c r="C313" i="1"/>
  <c r="F312" i="1"/>
  <c r="D312" i="1"/>
  <c r="C312" i="1"/>
  <c r="I311" i="1"/>
  <c r="J311" i="1" s="1"/>
  <c r="D307" i="1"/>
  <c r="D306" i="1"/>
  <c r="D301" i="1"/>
  <c r="C301" i="1"/>
  <c r="I300" i="1"/>
  <c r="J300" i="1" s="1"/>
  <c r="D300" i="1"/>
  <c r="C300" i="1"/>
  <c r="I299" i="1"/>
  <c r="J299" i="1" s="1"/>
  <c r="D299" i="1"/>
  <c r="C299" i="1"/>
  <c r="I298" i="1"/>
  <c r="J298" i="1" s="1"/>
  <c r="D298" i="1"/>
  <c r="C298" i="1"/>
  <c r="I297" i="1"/>
  <c r="J297" i="1" s="1"/>
  <c r="I296" i="1"/>
  <c r="J296" i="1" s="1"/>
  <c r="D296" i="1"/>
  <c r="C296" i="1"/>
  <c r="I292" i="1"/>
  <c r="J292" i="1" s="1"/>
  <c r="I291" i="1"/>
  <c r="J291" i="1" s="1"/>
  <c r="I290" i="1"/>
  <c r="J290" i="1" s="1"/>
  <c r="I289" i="1"/>
  <c r="J289" i="1" s="1"/>
  <c r="I288" i="1"/>
  <c r="J288" i="1" s="1"/>
  <c r="I285" i="1"/>
  <c r="J285" i="1" s="1"/>
  <c r="I284" i="1"/>
  <c r="J284" i="1" s="1"/>
  <c r="I283" i="1"/>
  <c r="F283" i="1"/>
  <c r="I282" i="1"/>
  <c r="F282" i="1"/>
  <c r="I281" i="1"/>
  <c r="I280" i="1"/>
  <c r="I279" i="1"/>
  <c r="F279" i="1"/>
  <c r="I278" i="1"/>
  <c r="F278" i="1"/>
  <c r="I275" i="1"/>
  <c r="J275" i="1" s="1"/>
  <c r="I274" i="1"/>
  <c r="J274" i="1" s="1"/>
  <c r="D274" i="1"/>
  <c r="C274" i="1"/>
  <c r="I273" i="1"/>
  <c r="J273" i="1" s="1"/>
  <c r="D273" i="1"/>
  <c r="C273" i="1"/>
  <c r="I272" i="1"/>
  <c r="J272" i="1" s="1"/>
  <c r="D272" i="1"/>
  <c r="C272" i="1"/>
  <c r="I271" i="1"/>
  <c r="J271" i="1" s="1"/>
  <c r="D271" i="1"/>
  <c r="C271" i="1"/>
  <c r="I270" i="1"/>
  <c r="J270" i="1" s="1"/>
  <c r="D270" i="1"/>
  <c r="C270" i="1"/>
  <c r="D269" i="1"/>
  <c r="C269" i="1"/>
  <c r="I268" i="1"/>
  <c r="F268" i="1"/>
  <c r="I267" i="1"/>
  <c r="J267" i="1" s="1"/>
  <c r="D267" i="1"/>
  <c r="C267" i="1"/>
  <c r="I266" i="1"/>
  <c r="J266" i="1" s="1"/>
  <c r="D266" i="1"/>
  <c r="C266" i="1"/>
  <c r="I265" i="1"/>
  <c r="F265" i="1"/>
  <c r="D265" i="1"/>
  <c r="C265" i="1"/>
  <c r="I262" i="1"/>
  <c r="J262" i="1" s="1"/>
  <c r="D262" i="1"/>
  <c r="I261" i="1"/>
  <c r="J261" i="1" s="1"/>
  <c r="I258" i="1"/>
  <c r="F258" i="1"/>
  <c r="I257" i="1"/>
  <c r="I256" i="1"/>
  <c r="J256" i="1" s="1"/>
  <c r="I255" i="1"/>
  <c r="F255" i="1"/>
  <c r="F257" i="1" s="1"/>
  <c r="D255" i="1"/>
  <c r="C255" i="1"/>
  <c r="I252" i="1"/>
  <c r="F252" i="1"/>
  <c r="F251" i="1"/>
  <c r="F250" i="1"/>
  <c r="F249" i="1"/>
  <c r="I248" i="1"/>
  <c r="F248" i="1"/>
  <c r="I247" i="1"/>
  <c r="F247" i="1"/>
  <c r="I246" i="1"/>
  <c r="F246" i="1"/>
  <c r="I245" i="1"/>
  <c r="F245" i="1"/>
  <c r="F244" i="1"/>
  <c r="J244" i="1" s="1"/>
  <c r="F243" i="1"/>
  <c r="J243" i="1" s="1"/>
  <c r="I240" i="1"/>
  <c r="F240" i="1"/>
  <c r="D240" i="1"/>
  <c r="C240" i="1"/>
  <c r="I239" i="1"/>
  <c r="F239" i="1"/>
  <c r="F238" i="1"/>
  <c r="D238" i="1"/>
  <c r="C238" i="1"/>
  <c r="F237" i="1"/>
  <c r="I236" i="1"/>
  <c r="F236" i="1"/>
  <c r="I235" i="1"/>
  <c r="I234" i="1"/>
  <c r="I233" i="1"/>
  <c r="I232" i="1"/>
  <c r="I231" i="1"/>
  <c r="I230" i="1"/>
  <c r="F230" i="1"/>
  <c r="I229" i="1"/>
  <c r="F229" i="1"/>
  <c r="I228" i="1"/>
  <c r="F228" i="1"/>
  <c r="F231" i="1" s="1"/>
  <c r="I223" i="1"/>
  <c r="F223" i="1"/>
  <c r="D223" i="1"/>
  <c r="C223" i="1"/>
  <c r="I222" i="1"/>
  <c r="F222" i="1"/>
  <c r="I221" i="1"/>
  <c r="F221" i="1"/>
  <c r="I220" i="1"/>
  <c r="I218" i="1"/>
  <c r="F218" i="1"/>
  <c r="I217" i="1"/>
  <c r="J217" i="1" s="1"/>
  <c r="I216" i="1"/>
  <c r="J216" i="1" s="1"/>
  <c r="I213" i="1"/>
  <c r="J213" i="1" s="1"/>
  <c r="J214" i="1" s="1"/>
  <c r="I210" i="1"/>
  <c r="F210" i="1"/>
  <c r="I209" i="1"/>
  <c r="F209" i="1"/>
  <c r="I208" i="1"/>
  <c r="J208" i="1" s="1"/>
  <c r="I205" i="1"/>
  <c r="J205" i="1" s="1"/>
  <c r="D205" i="1"/>
  <c r="I204" i="1"/>
  <c r="I203" i="1"/>
  <c r="I202" i="1"/>
  <c r="I201" i="1"/>
  <c r="F201" i="1"/>
  <c r="I200" i="1"/>
  <c r="I199" i="1"/>
  <c r="I198" i="1"/>
  <c r="F198" i="1"/>
  <c r="F199" i="1" s="1"/>
  <c r="I197" i="1"/>
  <c r="F197" i="1"/>
  <c r="D197" i="1"/>
  <c r="C197" i="1"/>
  <c r="D192" i="1"/>
  <c r="I190" i="1"/>
  <c r="J190" i="1" s="1"/>
  <c r="I189" i="1"/>
  <c r="J189" i="1" s="1"/>
  <c r="I188" i="1"/>
  <c r="J188" i="1" s="1"/>
  <c r="I187" i="1"/>
  <c r="J187" i="1" s="1"/>
  <c r="I186" i="1"/>
  <c r="J186" i="1" s="1"/>
  <c r="D186" i="1"/>
  <c r="C186" i="1"/>
  <c r="I185" i="1"/>
  <c r="J185" i="1" s="1"/>
  <c r="D185" i="1"/>
  <c r="C185" i="1"/>
  <c r="I184" i="1"/>
  <c r="J184" i="1" s="1"/>
  <c r="I183" i="1"/>
  <c r="J183" i="1" s="1"/>
  <c r="I180" i="1"/>
  <c r="F180" i="1"/>
  <c r="I179" i="1"/>
  <c r="I178" i="1"/>
  <c r="F178" i="1"/>
  <c r="F179" i="1" s="1"/>
  <c r="I175" i="1"/>
  <c r="J175" i="1" s="1"/>
  <c r="I174" i="1"/>
  <c r="J174" i="1" s="1"/>
  <c r="D174" i="1"/>
  <c r="C174" i="1"/>
  <c r="I173" i="1"/>
  <c r="J173" i="1" s="1"/>
  <c r="D173" i="1"/>
  <c r="C173" i="1"/>
  <c r="I172" i="1"/>
  <c r="F172" i="1"/>
  <c r="D172" i="1"/>
  <c r="C172" i="1"/>
  <c r="I171" i="1"/>
  <c r="F171" i="1"/>
  <c r="D171" i="1"/>
  <c r="C171" i="1"/>
  <c r="I168" i="1"/>
  <c r="I167" i="1"/>
  <c r="F167" i="1"/>
  <c r="I166" i="1"/>
  <c r="F166" i="1"/>
  <c r="D166" i="1"/>
  <c r="C166" i="1"/>
  <c r="I165" i="1"/>
  <c r="F165" i="1"/>
  <c r="D165" i="1"/>
  <c r="C165" i="1"/>
  <c r="I162" i="1"/>
  <c r="J162" i="1" s="1"/>
  <c r="D162" i="1"/>
  <c r="C162" i="1"/>
  <c r="F161" i="1"/>
  <c r="I158" i="1"/>
  <c r="I157" i="1"/>
  <c r="I156" i="1"/>
  <c r="I155" i="1"/>
  <c r="F155" i="1"/>
  <c r="I154" i="1"/>
  <c r="F154" i="1"/>
  <c r="I153" i="1"/>
  <c r="F153" i="1"/>
  <c r="F156" i="1" s="1"/>
  <c r="I152" i="1"/>
  <c r="F152" i="1"/>
  <c r="D152" i="1"/>
  <c r="C152" i="1"/>
  <c r="I147" i="1"/>
  <c r="J147" i="1" s="1"/>
  <c r="D147" i="1"/>
  <c r="I146" i="1"/>
  <c r="J146" i="1" s="1"/>
  <c r="D146" i="1"/>
  <c r="I145" i="1"/>
  <c r="J145" i="1" s="1"/>
  <c r="D140" i="1"/>
  <c r="C140" i="1"/>
  <c r="I139" i="1"/>
  <c r="J139" i="1" s="1"/>
  <c r="D139" i="1"/>
  <c r="C139" i="1"/>
  <c r="I138" i="1"/>
  <c r="J138" i="1" s="1"/>
  <c r="D138" i="1"/>
  <c r="C138" i="1"/>
  <c r="I137" i="1"/>
  <c r="J137" i="1" s="1"/>
  <c r="D137" i="1"/>
  <c r="C137" i="1"/>
  <c r="I136" i="1"/>
  <c r="J136" i="1" s="1"/>
  <c r="I135" i="1"/>
  <c r="J135" i="1" s="1"/>
  <c r="I134" i="1"/>
  <c r="J134" i="1" s="1"/>
  <c r="I133" i="1"/>
  <c r="J133" i="1" s="1"/>
  <c r="I130" i="1"/>
  <c r="F130" i="1"/>
  <c r="I129" i="1"/>
  <c r="F129" i="1"/>
  <c r="I128" i="1"/>
  <c r="F128" i="1"/>
  <c r="I127" i="1"/>
  <c r="F127" i="1"/>
  <c r="I126" i="1"/>
  <c r="I125" i="1"/>
  <c r="I124" i="1"/>
  <c r="F124" i="1"/>
  <c r="F125" i="1" s="1"/>
  <c r="F126" i="1" s="1"/>
  <c r="I123" i="1"/>
  <c r="I122" i="1"/>
  <c r="F122" i="1"/>
  <c r="I119" i="1"/>
  <c r="J119" i="1" s="1"/>
  <c r="I118" i="1"/>
  <c r="J118" i="1" s="1"/>
  <c r="D118" i="1"/>
  <c r="C118" i="1"/>
  <c r="I117" i="1"/>
  <c r="J117" i="1" s="1"/>
  <c r="D117" i="1"/>
  <c r="C117" i="1"/>
  <c r="I116" i="1"/>
  <c r="F116" i="1"/>
  <c r="D116" i="1"/>
  <c r="C116" i="1"/>
  <c r="I115" i="1"/>
  <c r="J115" i="1" s="1"/>
  <c r="D115" i="1"/>
  <c r="C115" i="1"/>
  <c r="I114" i="1"/>
  <c r="J114" i="1" s="1"/>
  <c r="D114" i="1"/>
  <c r="C114" i="1"/>
  <c r="I113" i="1"/>
  <c r="J113" i="1" s="1"/>
  <c r="D113" i="1"/>
  <c r="C113" i="1"/>
  <c r="F112" i="1"/>
  <c r="D112" i="1"/>
  <c r="C112" i="1"/>
  <c r="F109" i="1"/>
  <c r="I107" i="1"/>
  <c r="J107" i="1" s="1"/>
  <c r="D107" i="1"/>
  <c r="I106" i="1"/>
  <c r="J106" i="1" s="1"/>
  <c r="I103" i="1"/>
  <c r="F103" i="1"/>
  <c r="I102" i="1"/>
  <c r="I101" i="1"/>
  <c r="J101" i="1" s="1"/>
  <c r="I100" i="1"/>
  <c r="F100" i="1"/>
  <c r="D100" i="1"/>
  <c r="C100" i="1"/>
  <c r="I99" i="1"/>
  <c r="F99" i="1"/>
  <c r="F102" i="1" s="1"/>
  <c r="D99" i="1"/>
  <c r="C99" i="1"/>
  <c r="I96" i="1"/>
  <c r="J96" i="1" s="1"/>
  <c r="D96" i="1"/>
  <c r="I95" i="1"/>
  <c r="F95" i="1"/>
  <c r="I94" i="1"/>
  <c r="F94" i="1"/>
  <c r="D94" i="1"/>
  <c r="C94" i="1"/>
  <c r="F91" i="1"/>
  <c r="I89" i="1"/>
  <c r="I88" i="1"/>
  <c r="I87" i="1"/>
  <c r="I86" i="1"/>
  <c r="I85" i="1"/>
  <c r="F85" i="1"/>
  <c r="I84" i="1"/>
  <c r="F84" i="1"/>
  <c r="I83" i="1"/>
  <c r="F83" i="1"/>
  <c r="F86" i="1" s="1"/>
  <c r="I82" i="1"/>
  <c r="F82" i="1"/>
  <c r="D82" i="1"/>
  <c r="C82" i="1"/>
  <c r="F71" i="1"/>
  <c r="D71" i="1"/>
  <c r="C71" i="1"/>
  <c r="F61" i="1"/>
  <c r="I60" i="1"/>
  <c r="F60" i="1"/>
  <c r="F74" i="1" s="1"/>
  <c r="I59" i="1"/>
  <c r="J59" i="1" s="1"/>
  <c r="I58" i="1"/>
  <c r="J58" i="1" s="1"/>
  <c r="I57" i="1"/>
  <c r="J57" i="1" s="1"/>
  <c r="I56" i="1"/>
  <c r="F56" i="1"/>
  <c r="I55" i="1"/>
  <c r="F55" i="1"/>
  <c r="I54" i="1"/>
  <c r="F54" i="1"/>
  <c r="I53" i="1"/>
  <c r="F53" i="1"/>
  <c r="I52" i="1"/>
  <c r="F52" i="1"/>
  <c r="I44" i="1"/>
  <c r="F44" i="1"/>
  <c r="F43" i="1"/>
  <c r="D43" i="1"/>
  <c r="C43" i="1"/>
  <c r="I42" i="1"/>
  <c r="J42" i="1" s="1"/>
  <c r="D42" i="1"/>
  <c r="C42" i="1"/>
  <c r="I41" i="1"/>
  <c r="J41" i="1" s="1"/>
  <c r="F32" i="1"/>
  <c r="F33" i="1" s="1"/>
  <c r="F46" i="1" s="1"/>
  <c r="I31" i="1"/>
  <c r="F31" i="1"/>
  <c r="F47" i="1" s="1"/>
  <c r="I30" i="1"/>
  <c r="J30" i="1" s="1"/>
  <c r="I29" i="1"/>
  <c r="J29" i="1" s="1"/>
  <c r="I28" i="1"/>
  <c r="J28" i="1" s="1"/>
  <c r="I27" i="1"/>
  <c r="F27" i="1"/>
  <c r="I26" i="1"/>
  <c r="F26" i="1"/>
  <c r="I25" i="1"/>
  <c r="F25" i="1"/>
  <c r="I24" i="1"/>
  <c r="F24" i="1"/>
  <c r="I23" i="1"/>
  <c r="F23" i="1"/>
  <c r="I18" i="1"/>
  <c r="J18" i="1" s="1"/>
  <c r="I17" i="1"/>
  <c r="J17" i="1" s="1"/>
  <c r="I16" i="1"/>
  <c r="J16" i="1" s="1"/>
  <c r="I15" i="1"/>
  <c r="F15" i="1"/>
  <c r="I14" i="1"/>
  <c r="F14" i="1"/>
  <c r="I13" i="1"/>
  <c r="F13" i="1"/>
  <c r="I12" i="1"/>
  <c r="J12" i="1" s="1"/>
  <c r="J741" i="1" l="1"/>
  <c r="J740" i="1"/>
  <c r="J816" i="1"/>
  <c r="J820" i="1"/>
  <c r="J818" i="1"/>
  <c r="J804" i="1"/>
  <c r="J798" i="1"/>
  <c r="J799" i="1"/>
  <c r="J800" i="1"/>
  <c r="J806" i="1"/>
  <c r="J805" i="1"/>
  <c r="J803" i="1"/>
  <c r="J797" i="1"/>
  <c r="J813" i="1" s="1"/>
  <c r="J791" i="1"/>
  <c r="J789" i="1"/>
  <c r="J790" i="1"/>
  <c r="J792" i="1"/>
  <c r="J785" i="1"/>
  <c r="J779" i="1"/>
  <c r="J782" i="1"/>
  <c r="J781" i="1"/>
  <c r="J780" i="1"/>
  <c r="J786" i="1"/>
  <c r="J776" i="1"/>
  <c r="J768" i="1"/>
  <c r="J770" i="1"/>
  <c r="J773" i="1"/>
  <c r="J774" i="1"/>
  <c r="J767" i="1"/>
  <c r="J775" i="1"/>
  <c r="J769" i="1"/>
  <c r="J759" i="1"/>
  <c r="J753" i="1"/>
  <c r="J755" i="1"/>
  <c r="J758" i="1"/>
  <c r="J752" i="1"/>
  <c r="J760" i="1"/>
  <c r="J754" i="1"/>
  <c r="J761" i="1"/>
  <c r="J742" i="1"/>
  <c r="J743" i="1"/>
  <c r="J744" i="1"/>
  <c r="J745" i="1"/>
  <c r="J738" i="1"/>
  <c r="J731" i="1"/>
  <c r="J728" i="1"/>
  <c r="J736" i="1"/>
  <c r="J737" i="1"/>
  <c r="J729" i="1"/>
  <c r="J739" i="1"/>
  <c r="J730" i="1"/>
  <c r="J418" i="1"/>
  <c r="F168" i="1"/>
  <c r="J168" i="1" s="1"/>
  <c r="J419" i="1"/>
  <c r="F123" i="1"/>
  <c r="J123" i="1" s="1"/>
  <c r="J618" i="1"/>
  <c r="J555" i="1"/>
  <c r="J558" i="1" s="1"/>
  <c r="J571" i="1"/>
  <c r="J617" i="1"/>
  <c r="J633" i="1"/>
  <c r="J493" i="1"/>
  <c r="J652" i="1"/>
  <c r="J678" i="1"/>
  <c r="J692" i="1"/>
  <c r="J709" i="1"/>
  <c r="J666" i="1"/>
  <c r="J595" i="1"/>
  <c r="J651" i="1"/>
  <c r="J573" i="1"/>
  <c r="J653" i="1"/>
  <c r="J693" i="1"/>
  <c r="J528" i="1"/>
  <c r="J575" i="1"/>
  <c r="J635" i="1"/>
  <c r="J572" i="1"/>
  <c r="J691" i="1"/>
  <c r="J526" i="1"/>
  <c r="J668" i="1"/>
  <c r="J494" i="1"/>
  <c r="J619" i="1"/>
  <c r="J710" i="1"/>
  <c r="J511" i="1"/>
  <c r="J540" i="1"/>
  <c r="J620" i="1"/>
  <c r="J654" i="1"/>
  <c r="J694" i="1"/>
  <c r="J713" i="1"/>
  <c r="J716" i="1"/>
  <c r="J506" i="1"/>
  <c r="J621" i="1"/>
  <c r="J94" i="1"/>
  <c r="J623" i="1"/>
  <c r="J486" i="1"/>
  <c r="J605" i="1"/>
  <c r="J624" i="1"/>
  <c r="J682" i="1"/>
  <c r="J698" i="1"/>
  <c r="J505" i="1"/>
  <c r="J600" i="1"/>
  <c r="J152" i="1"/>
  <c r="J622" i="1"/>
  <c r="J604" i="1"/>
  <c r="J61" i="1"/>
  <c r="J661" i="1"/>
  <c r="J603" i="1"/>
  <c r="J487" i="1"/>
  <c r="J606" i="1"/>
  <c r="J683" i="1"/>
  <c r="J699" i="1"/>
  <c r="J524" i="1"/>
  <c r="J662" i="1"/>
  <c r="J502" i="1"/>
  <c r="J607" i="1"/>
  <c r="J702" i="1"/>
  <c r="J525" i="1"/>
  <c r="J695" i="1"/>
  <c r="J499" i="1"/>
  <c r="J657" i="1"/>
  <c r="J521" i="1"/>
  <c r="J564" i="1"/>
  <c r="J569" i="1" s="1"/>
  <c r="J644" i="1"/>
  <c r="J663" i="1"/>
  <c r="J611" i="1"/>
  <c r="J655" i="1"/>
  <c r="J696" i="1"/>
  <c r="J514" i="1"/>
  <c r="J681" i="1"/>
  <c r="J356" i="1"/>
  <c r="J489" i="1"/>
  <c r="J503" i="1"/>
  <c r="J685" i="1"/>
  <c r="J703" i="1"/>
  <c r="J631" i="1"/>
  <c r="J706" i="1"/>
  <c r="J616" i="1"/>
  <c r="J714" i="1"/>
  <c r="J629" i="1"/>
  <c r="J664" i="1"/>
  <c r="J720" i="1"/>
  <c r="J650" i="1"/>
  <c r="J632" i="1"/>
  <c r="J596" i="1"/>
  <c r="J512" i="1"/>
  <c r="J639" i="1"/>
  <c r="J128" i="1"/>
  <c r="J680" i="1"/>
  <c r="J641" i="1"/>
  <c r="J592" i="1"/>
  <c r="J704" i="1"/>
  <c r="J667" i="1"/>
  <c r="J640" i="1"/>
  <c r="J658" i="1"/>
  <c r="J687" i="1"/>
  <c r="J590" i="1"/>
  <c r="J548" i="1"/>
  <c r="J488" i="1"/>
  <c r="J452" i="1"/>
  <c r="F233" i="1"/>
  <c r="F234" i="1" s="1"/>
  <c r="J234" i="1" s="1"/>
  <c r="J161" i="1"/>
  <c r="J228" i="1"/>
  <c r="J201" i="1"/>
  <c r="J100" i="1"/>
  <c r="J250" i="1"/>
  <c r="J332" i="1"/>
  <c r="J31" i="1"/>
  <c r="J198" i="1"/>
  <c r="J13" i="1"/>
  <c r="J249" i="1"/>
  <c r="F88" i="1"/>
  <c r="F89" i="1" s="1"/>
  <c r="J89" i="1" s="1"/>
  <c r="J245" i="1"/>
  <c r="J24" i="1"/>
  <c r="J109" i="1"/>
  <c r="J110" i="1" s="1"/>
  <c r="J252" i="1"/>
  <c r="J54" i="1"/>
  <c r="J223" i="1"/>
  <c r="J209" i="1"/>
  <c r="F72" i="1"/>
  <c r="J72" i="1" s="1"/>
  <c r="J55" i="1"/>
  <c r="J221" i="1"/>
  <c r="J474" i="1"/>
  <c r="F45" i="1"/>
  <c r="F48" i="1" s="1"/>
  <c r="F49" i="1" s="1"/>
  <c r="J49" i="1" s="1"/>
  <c r="J27" i="1"/>
  <c r="J32" i="1"/>
  <c r="J406" i="1"/>
  <c r="J421" i="1"/>
  <c r="J470" i="1"/>
  <c r="F407" i="1"/>
  <c r="J407" i="1" s="1"/>
  <c r="J246" i="1"/>
  <c r="J390" i="1"/>
  <c r="J82" i="1"/>
  <c r="J377" i="1"/>
  <c r="J102" i="1"/>
  <c r="J412" i="1"/>
  <c r="J44" i="1"/>
  <c r="J166" i="1"/>
  <c r="J83" i="1"/>
  <c r="F158" i="1"/>
  <c r="F159" i="1" s="1"/>
  <c r="F160" i="1" s="1"/>
  <c r="J160" i="1" s="1"/>
  <c r="F157" i="1"/>
  <c r="J157" i="1" s="1"/>
  <c r="J15" i="1"/>
  <c r="J445" i="1"/>
  <c r="J84" i="1"/>
  <c r="J178" i="1"/>
  <c r="J230" i="1"/>
  <c r="J52" i="1"/>
  <c r="J122" i="1"/>
  <c r="J268" i="1"/>
  <c r="J338" i="1"/>
  <c r="J378" i="1"/>
  <c r="J368" i="1"/>
  <c r="J472" i="1"/>
  <c r="J23" i="1"/>
  <c r="J86" i="1"/>
  <c r="J165" i="1"/>
  <c r="J180" i="1"/>
  <c r="J237" i="1"/>
  <c r="J337" i="1"/>
  <c r="J453" i="1"/>
  <c r="J103" i="1"/>
  <c r="J282" i="1"/>
  <c r="J248" i="1"/>
  <c r="J446" i="1"/>
  <c r="J85" i="1"/>
  <c r="J231" i="1"/>
  <c r="J283" i="1"/>
  <c r="J74" i="1"/>
  <c r="J53" i="1"/>
  <c r="J343" i="1"/>
  <c r="J411" i="1"/>
  <c r="J238" i="1"/>
  <c r="J344" i="1"/>
  <c r="J379" i="1"/>
  <c r="J455" i="1"/>
  <c r="J71" i="1"/>
  <c r="J251" i="1"/>
  <c r="J399" i="1"/>
  <c r="J318" i="1"/>
  <c r="J395" i="1"/>
  <c r="J26" i="1"/>
  <c r="J127" i="1"/>
  <c r="J167" i="1"/>
  <c r="J448" i="1"/>
  <c r="J255" i="1"/>
  <c r="J319" i="1"/>
  <c r="J396" i="1"/>
  <c r="J426" i="1"/>
  <c r="J210" i="1"/>
  <c r="J320" i="1"/>
  <c r="J414" i="1"/>
  <c r="J47" i="1"/>
  <c r="J95" i="1"/>
  <c r="J129" i="1"/>
  <c r="J153" i="1"/>
  <c r="J60" i="1"/>
  <c r="J239" i="1"/>
  <c r="J258" i="1"/>
  <c r="J449" i="1"/>
  <c r="J130" i="1"/>
  <c r="J154" i="1"/>
  <c r="J263" i="1"/>
  <c r="J43" i="1"/>
  <c r="J91" i="1"/>
  <c r="J451" i="1"/>
  <c r="J99" i="1"/>
  <c r="J156" i="1"/>
  <c r="J116" i="1"/>
  <c r="J197" i="1"/>
  <c r="J462" i="1"/>
  <c r="J265" i="1"/>
  <c r="J331" i="1"/>
  <c r="J376" i="1"/>
  <c r="J388" i="1"/>
  <c r="J404" i="1"/>
  <c r="J440" i="1"/>
  <c r="J442" i="1" s="1"/>
  <c r="J155" i="1"/>
  <c r="J387" i="1"/>
  <c r="J112" i="1"/>
  <c r="J240" i="1"/>
  <c r="J461" i="1"/>
  <c r="J172" i="1"/>
  <c r="J278" i="1"/>
  <c r="J420" i="1"/>
  <c r="I458" i="1"/>
  <c r="J458" i="1" s="1"/>
  <c r="J126" i="1"/>
  <c r="J229" i="1"/>
  <c r="J25" i="1"/>
  <c r="F220" i="1"/>
  <c r="J220" i="1" s="1"/>
  <c r="F219" i="1"/>
  <c r="J219" i="1" s="1"/>
  <c r="J218" i="1"/>
  <c r="J397" i="1"/>
  <c r="J369" i="1"/>
  <c r="J148" i="1"/>
  <c r="F281" i="1"/>
  <c r="J281" i="1" s="1"/>
  <c r="F280" i="1"/>
  <c r="J280" i="1" s="1"/>
  <c r="J56" i="1"/>
  <c r="J321" i="1"/>
  <c r="J459" i="1"/>
  <c r="F200" i="1"/>
  <c r="J200" i="1" s="1"/>
  <c r="F202" i="1"/>
  <c r="F203" i="1" s="1"/>
  <c r="F204" i="1" s="1"/>
  <c r="J204" i="1" s="1"/>
  <c r="J279" i="1"/>
  <c r="F323" i="1"/>
  <c r="F322" i="1"/>
  <c r="J322" i="1" s="1"/>
  <c r="J193" i="1"/>
  <c r="J355" i="1"/>
  <c r="F430" i="1"/>
  <c r="J430" i="1" s="1"/>
  <c r="F427" i="1"/>
  <c r="F429" i="1" s="1"/>
  <c r="J429" i="1" s="1"/>
  <c r="J46" i="1"/>
  <c r="J370" i="1"/>
  <c r="J398" i="1"/>
  <c r="J408" i="1"/>
  <c r="F428" i="1"/>
  <c r="J428" i="1" s="1"/>
  <c r="J345" i="1"/>
  <c r="J124" i="1"/>
  <c r="J125" i="1"/>
  <c r="F232" i="1"/>
  <c r="J232" i="1" s="1"/>
  <c r="J14" i="1"/>
  <c r="J454" i="1"/>
  <c r="J463" i="1"/>
  <c r="F87" i="1"/>
  <c r="J87" i="1" s="1"/>
  <c r="F347" i="1"/>
  <c r="J347" i="1" s="1"/>
  <c r="F346" i="1"/>
  <c r="J346" i="1" s="1"/>
  <c r="J222" i="1"/>
  <c r="J476" i="1"/>
  <c r="J236" i="1"/>
  <c r="J444" i="1"/>
  <c r="J199" i="1"/>
  <c r="J312" i="1"/>
  <c r="J314" i="1" s="1"/>
  <c r="F348" i="1"/>
  <c r="J348" i="1" s="1"/>
  <c r="F465" i="1"/>
  <c r="F464" i="1"/>
  <c r="J464" i="1"/>
  <c r="J257" i="1"/>
  <c r="J179" i="1"/>
  <c r="F62" i="1"/>
  <c r="J62" i="1" s="1"/>
  <c r="J247" i="1"/>
  <c r="J171" i="1"/>
  <c r="J367" i="1"/>
  <c r="J33" i="1"/>
  <c r="F405" i="1"/>
  <c r="J405" i="1" s="1"/>
  <c r="J787" i="1" l="1"/>
  <c r="J829" i="1"/>
  <c r="J765" i="1"/>
  <c r="J795" i="1"/>
  <c r="J777" i="1"/>
  <c r="J734" i="1"/>
  <c r="J427" i="1"/>
  <c r="J431" i="1" s="1"/>
  <c r="F73" i="1"/>
  <c r="J73" i="1" s="1"/>
  <c r="J648" i="1"/>
  <c r="J750" i="1"/>
  <c r="J669" i="1"/>
  <c r="J529" i="1"/>
  <c r="J517" i="1"/>
  <c r="F235" i="1"/>
  <c r="J235" i="1" s="1"/>
  <c r="J689" i="1"/>
  <c r="J233" i="1"/>
  <c r="J612" i="1"/>
  <c r="J637" i="1"/>
  <c r="J659" i="1"/>
  <c r="J507" i="1"/>
  <c r="J601" i="1"/>
  <c r="J711" i="1"/>
  <c r="J497" i="1"/>
  <c r="J722" i="1"/>
  <c r="J700" i="1"/>
  <c r="J627" i="1"/>
  <c r="J358" i="1"/>
  <c r="J120" i="1"/>
  <c r="J580" i="1"/>
  <c r="J104" i="1"/>
  <c r="J211" i="1"/>
  <c r="J48" i="1"/>
  <c r="J339" i="1"/>
  <c r="J159" i="1"/>
  <c r="J383" i="1"/>
  <c r="J88" i="1"/>
  <c r="J334" i="1"/>
  <c r="J158" i="1"/>
  <c r="J276" i="1"/>
  <c r="F90" i="1"/>
  <c r="J90" i="1" s="1"/>
  <c r="J45" i="1"/>
  <c r="F75" i="1"/>
  <c r="F76" i="1" s="1"/>
  <c r="J76" i="1" s="1"/>
  <c r="J176" i="1"/>
  <c r="J253" i="1"/>
  <c r="J259" i="1"/>
  <c r="J19" i="1"/>
  <c r="J169" i="1"/>
  <c r="J224" i="1"/>
  <c r="J181" i="1"/>
  <c r="J480" i="1"/>
  <c r="J409" i="1"/>
  <c r="J374" i="1"/>
  <c r="J349" i="1"/>
  <c r="J241" i="1"/>
  <c r="J131" i="1"/>
  <c r="J286" i="1"/>
  <c r="F324" i="1"/>
  <c r="J324" i="1" s="1"/>
  <c r="F325" i="1"/>
  <c r="J325" i="1" s="1"/>
  <c r="J203" i="1"/>
  <c r="J323" i="1"/>
  <c r="F466" i="1"/>
  <c r="J466" i="1" s="1"/>
  <c r="F467" i="1"/>
  <c r="J467" i="1" s="1"/>
  <c r="J202" i="1"/>
  <c r="J465" i="1"/>
  <c r="J723" i="1" l="1"/>
  <c r="J613" i="1"/>
  <c r="J359" i="1"/>
  <c r="J326" i="1"/>
  <c r="J340" i="1" s="1"/>
  <c r="J50" i="1"/>
  <c r="J163" i="1"/>
  <c r="J194" i="1" s="1"/>
  <c r="J468" i="1"/>
  <c r="J384" i="1"/>
  <c r="J97" i="1"/>
  <c r="J149" i="1" s="1"/>
  <c r="J315" i="1"/>
  <c r="J432" i="1"/>
  <c r="J75" i="1"/>
  <c r="J77" i="1" s="1"/>
  <c r="J78" i="1" s="1"/>
  <c r="J206" i="1"/>
  <c r="J225" i="1" s="1"/>
</calcChain>
</file>

<file path=xl/sharedStrings.xml><?xml version="1.0" encoding="utf-8"?>
<sst xmlns="http://schemas.openxmlformats.org/spreadsheetml/2006/main" count="2872" uniqueCount="1138">
  <si>
    <t>PROJETO: PROJETO DE ADEQUAÇÃO À ACESSIBILIDADE, REFORMA E AMPLIAÇÃO DO GINÁSIO DE ESPORTES MUNICIPAL - CENTRO - QUILOMBO/SC
ÁREA DE ADEQUAÇÃO: 2.194,97 m²</t>
  </si>
  <si>
    <t xml:space="preserve">PLANILHA   </t>
  </si>
  <si>
    <t>A1</t>
  </si>
  <si>
    <t>MUNICÍPIO: QUILOMBO - SC</t>
  </si>
  <si>
    <t>FOLHA Nº</t>
  </si>
  <si>
    <t>PROJETO: PROJETO DE ADEQUAÇÃO À ACESSIBILIDADE, REFORMA E AMPLIAÇÃO DO GINÁSIO DE ESPORTES MUNICIPAL - CENTRO - QUILOMBO/SC
ÁREA DE ADEQUAÇÃO: 2.225,60 m²</t>
  </si>
  <si>
    <t>001/005</t>
  </si>
  <si>
    <t>LOCALIZAÇÃO: Rua dos Esportes - Centro, Quilombo - SC</t>
  </si>
  <si>
    <t>Data:</t>
  </si>
  <si>
    <r>
      <t>Data de referência dos custos: 02/</t>
    </r>
    <r>
      <rPr>
        <b/>
        <sz val="10"/>
        <rFont val="Times New Roman"/>
        <family val="1"/>
      </rPr>
      <t>2026 - DESONERADO</t>
    </r>
  </si>
  <si>
    <t>ITEM</t>
  </si>
  <si>
    <t>FONTE</t>
  </si>
  <si>
    <t>CÓDIGO(SINAPI/SICRO/DEINFRA)</t>
  </si>
  <si>
    <t>DISCRIMINAÇÃO DOS SERVIÇOS</t>
  </si>
  <si>
    <t>UNID.</t>
  </si>
  <si>
    <t>QUANT.</t>
  </si>
  <si>
    <t>CUSTO UNITÁRIO</t>
  </si>
  <si>
    <t>BDI (%)</t>
  </si>
  <si>
    <t>PREÇO UNITÁRIO</t>
  </si>
  <si>
    <t>PREÇO DO SERVIÇO</t>
  </si>
  <si>
    <t>SERVIÇOS PRELIMINARES</t>
  </si>
  <si>
    <t>1.1</t>
  </si>
  <si>
    <t>SINAPI</t>
  </si>
  <si>
    <t>FORNECIMENTO E INSTALAÇÃO DE PLACA DE OBRA COM CHAPA GALVANIZADA E ESTRUTURA DE MADEIRA. AF_03/2022_PS</t>
  </si>
  <si>
    <t>M2</t>
  </si>
  <si>
    <t>1.2</t>
  </si>
  <si>
    <t>90777</t>
  </si>
  <si>
    <t>ENGENHEIRO CIVIL DE OBRA JUNIOR COM ENCARGOS COMPLEMENTARES (12H POR MÊS)</t>
  </si>
  <si>
    <t>H</t>
  </si>
  <si>
    <t>1.3</t>
  </si>
  <si>
    <t>90780</t>
  </si>
  <si>
    <t>MESTRE DE OBRAS COM ENCARGOS COMPLEMENTARES (36H POR MÊS)</t>
  </si>
  <si>
    <t>1.4</t>
  </si>
  <si>
    <t>SINAPI-I</t>
  </si>
  <si>
    <t>LOCACAO DE ANDAIME METALICO TUBULAR DE ENCAIXE, TIPO DE TORRE, CADA PAINEL COM LARGURA DE 1 ATE 1,5 M E ALTURA DE *1,00* M, INCLUINDO DIAGONAL, BARRAS DE LIGACAO, SAPATAS OU RODIZIOS E DEMAIS ITENS NECESSARIOS A MONTAGEM (NAO INCLUI INSTALACAO)</t>
  </si>
  <si>
    <t>MXMES</t>
  </si>
  <si>
    <t>1.5</t>
  </si>
  <si>
    <t>MONTAGEM E DESMONTAGEM DE ANDAIME TUBULAR TIPO "TORRE" (EXCLUSIVE ANDAIME E LIMPEZA). AF_03/2024</t>
  </si>
  <si>
    <t>M</t>
  </si>
  <si>
    <t>1.6</t>
  </si>
  <si>
    <t>TAPUME COM TELHA METÁLICA. AF_03/2024</t>
  </si>
  <si>
    <t>1.7</t>
  </si>
  <si>
    <t>SINALIZAÇÃO COM FITA FIXADA EM CONE PLÁSTICO, INCLUINDO CONE. AF_03/2024</t>
  </si>
  <si>
    <t>TOTAL DO ITEM</t>
  </si>
  <si>
    <t>DEMOLIÇÕES</t>
  </si>
  <si>
    <t>DEMOLIÇÕES E REMOÇÕES</t>
  </si>
  <si>
    <t>2.1</t>
  </si>
  <si>
    <t>FRENTE</t>
  </si>
  <si>
    <t>2.1.1</t>
  </si>
  <si>
    <t>97625</t>
  </si>
  <si>
    <t>DEMOLIÇÃO DE ALVENARIA PARA QUALQUER TIPO DE BLOCO, DE FORMA MECANIZADA, SEM REAPROVEITAMENTO. AF_09/2023</t>
  </si>
  <si>
    <t>M3</t>
  </si>
  <si>
    <t>2.1.2</t>
  </si>
  <si>
    <r>
      <t xml:space="preserve">DEMOLIÇÃO DE LAJES, EM CONCRETO ARMADO, DE FORMA MECANIZADA COM MARTELETE, SEM REAPROVEITAMENTO. AF_09/2023 </t>
    </r>
    <r>
      <rPr>
        <b/>
        <sz val="10"/>
        <color rgb="FF000000"/>
        <rFont val="Times New Roman"/>
        <family val="1"/>
      </rPr>
      <t>(VARANDA E COZINHA)</t>
    </r>
  </si>
  <si>
    <t>2.1.3</t>
  </si>
  <si>
    <t>DEMOLIÇÃO DE PILARES E VIGAS EM CONCRETO ARMADO, DE FORMA MECANIZADA COM MARTELETE, SEM REAPROVEITAMENTO. AF_09/2023</t>
  </si>
  <si>
    <t>2.1.4</t>
  </si>
  <si>
    <r>
      <t xml:space="preserve">DEMOLIÇÃO DE PISO DE CONCRETO SIMPLES, DE FORMA MANUAL, SEM REAPROVEITAMENTO. AF_09/2023 </t>
    </r>
    <r>
      <rPr>
        <b/>
        <sz val="10"/>
        <color rgb="FF000000"/>
        <rFont val="Times New Roman"/>
        <family val="1"/>
      </rPr>
      <t>(SALA, DEPÓSITO, WCS, HALL E COPA)</t>
    </r>
  </si>
  <si>
    <t>2.1.5</t>
  </si>
  <si>
    <t>ESCAVAÇÃO MANUAL DE VALA. AF_09/2024</t>
  </si>
  <si>
    <t>2.1.6</t>
  </si>
  <si>
    <t>REMOÇÃO DE LOUÇAS, DE FORMA MANUAL, SEM REAPROVEITAMENTO. AF_09/2023</t>
  </si>
  <si>
    <t>UN</t>
  </si>
  <si>
    <t>2.1.7</t>
  </si>
  <si>
    <t>REMOÇÃO DE METAIS SANITÁRIOS, DE FORMA MANUAL, SEM REAPROVEITAMENTO. AF_09/2023</t>
  </si>
  <si>
    <t>2.1.8</t>
  </si>
  <si>
    <t>REMOÇÃO DE TUBULAÇÕES (TUBOS E CONEXÕES) DE ÁGUA FRIA, DE FORMA MANUAL, SEM REAPROVEITAMENTO. AF_09/2023</t>
  </si>
  <si>
    <t>2.1.9</t>
  </si>
  <si>
    <t>97644</t>
  </si>
  <si>
    <t>REMOÇÃO DE PORTAS, DE FORMA MANUAL, SEM REAPROVEITAMENTO. AF_09/2023 (MADEIRA)</t>
  </si>
  <si>
    <t>2.1.10</t>
  </si>
  <si>
    <t>REMOÇÃO DE VIDRO LISO COMUM DE ESQUADRIA COM BAGUETE DE ALUMÍNIO OU PVC. AF_01/2021 (PORTAS E JANELAS DE VIDRO)</t>
  </si>
  <si>
    <t>2.1.11</t>
  </si>
  <si>
    <t xml:space="preserve">REMOÇÃO DE TRAMA METÁLICA, DE FORMA MANUAL, SEM REAPROVEITAMENTO. AF_09/2023 </t>
  </si>
  <si>
    <t>2.1.12</t>
  </si>
  <si>
    <t>REMOÇÃO CALHAS E RUFOS, DE FORMA MANUAL, SEM REAPROVEITAMENTO. AF_09/2023</t>
  </si>
  <si>
    <t>2.1.13</t>
  </si>
  <si>
    <t>REMOÇÃO DE TESOURAS DE MADEIRA, COM VÃO MENOR QUE 8M, DE FORMA MANUAL, SEM REAPROVEITAMENTO. AF_09/2023</t>
  </si>
  <si>
    <t>2.1.14</t>
  </si>
  <si>
    <t>REMOÇÃO DE TRAMA DE MADEIRA PARA COBERTURA, DE FORMA MANUAL, SEM REAPROVEITAMENTO. AF_09/2023</t>
  </si>
  <si>
    <t>2.1.15</t>
  </si>
  <si>
    <t>REMOÇÃO DE TELHAS DE FIBROCIMENTO METÁLICA E CERÂMICA, DE FORMA MANUAL, SEM REAPROVEITAMENTO. AF_09/2023</t>
  </si>
  <si>
    <t>2.1.16</t>
  </si>
  <si>
    <t>REMOÇÃO DE CABOS ELÉTRICOS, COM SEÇÃO DE ATÉ 2,5 MM², DE FORMA MANUAL, SEM REAPROVEITAMENTO. AF_09/2023</t>
  </si>
  <si>
    <t>2.1.17</t>
  </si>
  <si>
    <t>REMOÇÃO DE CABOS ELÉTRICOS, COM SEÇÃO MAIOR QUE 2,5 MM² E MENOR QUE 10 MM², DE FORMA MANUAL, SEM REAPROVEITAMENTO. AF_09/2023</t>
  </si>
  <si>
    <t>2.1.18</t>
  </si>
  <si>
    <t>REMOÇÃO DE INTERRUPTORES/TOMADAS ELÉTRICAS, DE FORMA MANUAL, SEM REAPROVEITAMENTO. AF_09/2023</t>
  </si>
  <si>
    <t>2.1.19</t>
  </si>
  <si>
    <t>REMOÇÃO DE LUMINÁRIAS, DE FORMA MANUAL, SEM REAPROVEITAMENTO. AF_09/2023</t>
  </si>
  <si>
    <t>2.1.20</t>
  </si>
  <si>
    <t>COMPOSIÇÃO</t>
  </si>
  <si>
    <t>2.1.21</t>
  </si>
  <si>
    <t>2.1.22</t>
  </si>
  <si>
    <r>
      <t xml:space="preserve">DEMOLIÇÃO DE REVESTIMENTO CERÂMICO, DE FORMA MECANIZADA COM MARTELETE, SEM REAPROVEITAMENTO. AF_09/2023 </t>
    </r>
    <r>
      <rPr>
        <b/>
        <sz val="10"/>
        <rFont val="Times New Roman"/>
        <family val="1"/>
      </rPr>
      <t>(CIRCULAÇÃO E ESCADA GINÁSIO)</t>
    </r>
  </si>
  <si>
    <t>2.1.23</t>
  </si>
  <si>
    <t>REMOÇÃO DE ENTULHO CLASSE A (ALVENARIA, CONCRETO, ARGAMASSAS E CERÂMICOS) POR DUTO DE ENTULHO E ACONDICIONAMENTO FINAL EM CAÇAMBA ESTACIONÁRIA. EXCLUSO FRETE. AF_09/2025</t>
  </si>
  <si>
    <t>2.1.24</t>
  </si>
  <si>
    <t>REMOÇÃO DE ENTULHO CLASSE B (PLASTICO/ PAPEL/ METAL) ARMAZENADO INICIALMENTE EM BOMBONAS E ACONDICIONAMENTO FINAL EM ABRIGOS COBERTOS. EXCLUSO FRETE. AF_09/2025</t>
  </si>
  <si>
    <t>2.1.25</t>
  </si>
  <si>
    <t>REMOÇÃO DE ENTULHO CLASSE B (FRAGMENTOS DE MADEIRA) TRANSPORTADOS POR CREMALHEIRA. ACONDICIONAMENTO FINAL CAÇAMBA ESTACIONÁRIA. EXCLUSO FRETE. AF_09/2025</t>
  </si>
  <si>
    <t>2.1.26</t>
  </si>
  <si>
    <t>100982</t>
  </si>
  <si>
    <t>CARGA, MANOBRA E DESCARGA DE ENTULHO EM CAMINHÃO BASCULANTE 10 M³ - CARGA COM ESCAVADEIRA HIDRÁULICA  (CAÇAMBA DE 0,80 M³ / 111 HP) E DESCARGA LIVRE (UNIDADE: M3). AF_07/2020</t>
  </si>
  <si>
    <t>2.1.27</t>
  </si>
  <si>
    <t>95875</t>
  </si>
  <si>
    <t>TRANSPORTE COM CAMINHÃO BASCULANTE DE 10 M³, EM VIA URBANA PAVIMENTADA, DMT ATÉ 30 KM (UNIDADE: M3XKM). AF_07/2020</t>
  </si>
  <si>
    <t>M3XKM</t>
  </si>
  <si>
    <t>TOTAL DO SUBITEM</t>
  </si>
  <si>
    <t>2.2</t>
  </si>
  <si>
    <t>FUNDOS</t>
  </si>
  <si>
    <t>2.2.1</t>
  </si>
  <si>
    <t>2.2.2</t>
  </si>
  <si>
    <r>
      <t xml:space="preserve">DEMOLIÇÃO DE LAJES, EM CONCRETO ARMADO, DE FORMA MECANIZADA COM MARTELETE, SEM REAPROVEITAMENTO. AF_09/2023 </t>
    </r>
    <r>
      <rPr>
        <b/>
        <sz val="10"/>
        <color rgb="FF000000"/>
        <rFont val="Times New Roman"/>
        <family val="1"/>
      </rPr>
      <t>(ESCADA)</t>
    </r>
  </si>
  <si>
    <t>2.2.3</t>
  </si>
  <si>
    <t>2.2.4</t>
  </si>
  <si>
    <r>
      <t>DEMOLIÇÃO DE PISO DE CONCRETO SIMPLES, DE FORMA MANUAL, SEM REAPROVEITAMENTO. AF_09/2023</t>
    </r>
    <r>
      <rPr>
        <b/>
        <sz val="10"/>
        <color rgb="FF000000"/>
        <rFont val="Times New Roman"/>
        <family val="1"/>
      </rPr>
      <t xml:space="preserve"> (VESTIÁRIO EXISTENTE)</t>
    </r>
  </si>
  <si>
    <t>2.2.5</t>
  </si>
  <si>
    <t>2.2.6</t>
  </si>
  <si>
    <t>2.2.7</t>
  </si>
  <si>
    <t>2.2.8</t>
  </si>
  <si>
    <t>2.2.9</t>
  </si>
  <si>
    <r>
      <t>REMOÇÃO DE PORTAS, DE FORMA MANUAL, SEM REAPROVEITAMENTO. AF_09/2023</t>
    </r>
    <r>
      <rPr>
        <b/>
        <sz val="10"/>
        <color rgb="FF000000"/>
        <rFont val="Times New Roman"/>
        <family val="1"/>
      </rPr>
      <t xml:space="preserve"> (MADEIRA)</t>
    </r>
  </si>
  <si>
    <t>2.2.10</t>
  </si>
  <si>
    <r>
      <t>REMOÇÃO DE VIDRO LISO COMUM DE ESQUADRIA COM BAGUETE DE ALUMÍNIO OU PVC. AF_01/2021</t>
    </r>
    <r>
      <rPr>
        <b/>
        <sz val="10"/>
        <color rgb="FF000000"/>
        <rFont val="Times New Roman"/>
        <family val="1"/>
      </rPr>
      <t xml:space="preserve"> (PORTAS E JANELAS DE VIDRO)</t>
    </r>
  </si>
  <si>
    <t>2.2.11</t>
  </si>
  <si>
    <t>2.2.12</t>
  </si>
  <si>
    <t>2.2.13</t>
  </si>
  <si>
    <t>2.2.14</t>
  </si>
  <si>
    <t>2.2.15</t>
  </si>
  <si>
    <r>
      <t xml:space="preserve">REMOÇÃO DE TELHAS DE FIBROCIMENTO METÁLICA E CERÂMICA, DE FORMA MANUAL, </t>
    </r>
    <r>
      <rPr>
        <b/>
        <sz val="10"/>
        <color rgb="FF000000"/>
        <rFont val="Times New Roman"/>
        <family val="1"/>
      </rPr>
      <t>COM</t>
    </r>
    <r>
      <rPr>
        <sz val="10"/>
        <color rgb="FF000000"/>
        <rFont val="Times New Roman"/>
        <family val="1"/>
      </rPr>
      <t xml:space="preserve"> REAPROVEITAMENTO. AF_09/2023</t>
    </r>
  </si>
  <si>
    <t>2.2.16</t>
  </si>
  <si>
    <t>2.2.17</t>
  </si>
  <si>
    <t>2.2.18</t>
  </si>
  <si>
    <t>2.2.19</t>
  </si>
  <si>
    <t>2.2.20</t>
  </si>
  <si>
    <t>2.2.21</t>
  </si>
  <si>
    <t>2.2.22</t>
  </si>
  <si>
    <t>2.2.23</t>
  </si>
  <si>
    <t>2.2.24</t>
  </si>
  <si>
    <t>2.2.25</t>
  </si>
  <si>
    <t>CONSTRUÇÕES</t>
  </si>
  <si>
    <t>CONSTRUÇÃO PAVTO TÉRREO - FRENTE</t>
  </si>
  <si>
    <t>3.1</t>
  </si>
  <si>
    <t>ALVENARIA</t>
  </si>
  <si>
    <t>3.1.1</t>
  </si>
  <si>
    <t>3.1.2</t>
  </si>
  <si>
    <r>
      <t xml:space="preserve">ALVENARIA DE VEDAÇÃO DE BLOCOS CERÂMICOS FURADOS NA HORIZONTAL DE 14X19X29 CM (ESPESSURA 14 CM) E ARGAMASSA DE ASSENTAMENTO COM PREPARO EM BETONEIRA. AF_12/2021 </t>
    </r>
    <r>
      <rPr>
        <b/>
        <sz val="10"/>
        <color rgb="FF000000"/>
        <rFont val="Times New Roman"/>
        <family val="1"/>
      </rPr>
      <t>(INCLUSO TELA DE AÇO SOLDADA PARA JUNÇÃO DA ALVENARIA COM A ESTRUTURA)</t>
    </r>
  </si>
  <si>
    <t>3.1.3</t>
  </si>
  <si>
    <t>VERGA MOLDADA IN LOCO EM CONCRETO, ESPESSURA DE *15* CM. AF_03/2024</t>
  </si>
  <si>
    <t>3.1.4</t>
  </si>
  <si>
    <t>CONTRAVERGA MOLDADA IN LOCO EM CONCRETO, ESPESSURA DE *15* CM. AF_03/2024</t>
  </si>
  <si>
    <t>3.1.5</t>
  </si>
  <si>
    <t>CHAPISCO APLICADO EM ALVENARIA (COM PRESENÇA DE VÃOS) E ESTRUTURAS DE CONCRETO DE FACHADA, COM COLHER DE PEDREIRO. ARGAMASSA TRAÇO 1:3 COM PREPARO EM BETONEIRA 400L. AF_10/2022</t>
  </si>
  <si>
    <t>3.1.6</t>
  </si>
  <si>
    <r>
      <t>EMBOÇO OU MASSA ÚNICA EM ARGAMASSA TRAÇO 1:2:8, PREPARO MECÂNICO COM BETONEIRA 400 L, APLICADA MANUALMENTE EM PANOS DE FACHADA COM PRESENÇA DE VÃOS, ESPESSURA DE 25 MM. AF_08/2022</t>
    </r>
    <r>
      <rPr>
        <b/>
        <sz val="10"/>
        <color rgb="FF000000"/>
        <rFont val="Times New Roman"/>
        <family val="1"/>
      </rPr>
      <t xml:space="preserve"> (MASSA ÚNICA COM EMBOÇO E REBOCO)</t>
    </r>
  </si>
  <si>
    <t>3.1.7</t>
  </si>
  <si>
    <r>
      <t xml:space="preserve">APLICAÇÃO MANUAL DE FUNDO SELADOR ACRÍLICO EM SUPERFÍCIES EXTERNAS DE SACADA DE EDIFÍCIOS DE MÚLTIPLOS PAVIMENTOS. AF_03/2024 </t>
    </r>
    <r>
      <rPr>
        <b/>
        <sz val="10"/>
        <color rgb="FF000000"/>
        <rFont val="Times New Roman"/>
        <family val="1"/>
      </rPr>
      <t>(INCLUSO PILARES E VIGAS)</t>
    </r>
  </si>
  <si>
    <t>3.1.8</t>
  </si>
  <si>
    <t>EMASSAMENTO COM MASSA LÁTEX, APLICAÇÃO EM PAREDE, DUAS DEMÃOS, LIXAMENTO MANUAL. AF_04/2023</t>
  </si>
  <si>
    <t>3.1.9</t>
  </si>
  <si>
    <t>APLICAÇÃO MANUAL DE PINTURA COM TINTA TEXTURIZADA LISA ACRÍLICA EM PANOS COM PRESENÇA DE VÃOS DE EDIFÍCIOS DE MÚLTIPLOS PAVIMENTOS, DUAS CORES. AF_03/2024</t>
  </si>
  <si>
    <t>3.1.10</t>
  </si>
  <si>
    <r>
      <t xml:space="preserve">REVESTIMENTO CERÂMICO PARA PAREDES INTERNAS COM PLACAS TIPO ESMALTADA DE DIMENSÕES 60X60 CM APLICADAS A MEIA ALTURA DAS PAREDES. AF_02/2023_PE </t>
    </r>
    <r>
      <rPr>
        <b/>
        <sz val="10"/>
        <color rgb="FF000000"/>
        <rFont val="Times New Roman"/>
        <family val="1"/>
      </rPr>
      <t>(BANHEIROS, COPA, BAR E COZINHA)</t>
    </r>
  </si>
  <si>
    <t>3.1.11</t>
  </si>
  <si>
    <t>LIXAMENTO MANUAL EM SUPERFÍCIES METÁLICAS EM OBRA. AF_01/2020</t>
  </si>
  <si>
    <t>3.1.12</t>
  </si>
  <si>
    <t>SICRO</t>
  </si>
  <si>
    <t>Pintura eletrostática a pó com tinta poliéster em chapa de aço</t>
  </si>
  <si>
    <t>3.1.13</t>
  </si>
  <si>
    <t>3.1.14</t>
  </si>
  <si>
    <t>GUARDA-CORPO DE AÇO GALVANIZADO DE 1,10M (COM PINTURA DE PROTEÇÃO), MONTANTES TUBULARES DE 1.1/4" ESPAÇADOS 1,20M, TRAVESSA SUPERIOR DE 1.1/2", GRADIL FORMADO POR TUBOS HORIZONTAIS DE 1" E VERTICAIS DE 3/4", FIXADO COM ADESIVO ESTRUTURAL EPOXI. AF_10/2025_PS</t>
  </si>
  <si>
    <t>3.1.15</t>
  </si>
  <si>
    <t>COTAÇÃO</t>
  </si>
  <si>
    <t xml:space="preserve">UN </t>
  </si>
  <si>
    <t>3.2</t>
  </si>
  <si>
    <t>DIVISÓRIAS E SHAFTS</t>
  </si>
  <si>
    <t>3.2.1</t>
  </si>
  <si>
    <t>3.2.2</t>
  </si>
  <si>
    <t>3.2.3</t>
  </si>
  <si>
    <t>PAREDE COM SISTEMA EM CHAPAS DE GESSO PARA DRYWALL, USO INTERNO, COM DUAS FACES SIMPLES E ESTRUTURA METÁLICA COM GUIAS DUPLAS PARA PAREDES COM ÁREA LÍQUIDA MENOR QUE 6 M2, COM VÃOS. AF_07/2023_PS</t>
  </si>
  <si>
    <t>3.2.4</t>
  </si>
  <si>
    <t>EMASSAMENTO COM MASSA LÁTEX, APLICAÇÃO EM PAREDE, UMA DEMÃO, LIXAMENTO MANUAL. AF_04/2023</t>
  </si>
  <si>
    <t>3.2.5</t>
  </si>
  <si>
    <t>DIVISORIA SANITÁRIA, EM GRANITO CINZA POLIDO, ESP = 3CM, ASSENTADO COM ARGAMASSA COLANTE AC III-E. AF_10/2025</t>
  </si>
  <si>
    <t>3.3</t>
  </si>
  <si>
    <t>FORRO E FECHAMENTOS</t>
  </si>
  <si>
    <t>3.3.1</t>
  </si>
  <si>
    <t>FORRO EM RÉGUAS DE PVC, LISO, PARA AMBIENTES RESIDENCIAIS, INCLUSIVE ESTRUTURA UNIDIRECIONAL DE FIXAÇÃO. AF_08/2023_PS</t>
  </si>
  <si>
    <t>3.3.2</t>
  </si>
  <si>
    <t>3.3.3</t>
  </si>
  <si>
    <t>EMASSAMENTO COM MASSA LÁTEX, APLICAÇÃO EM TETO, DUAS DEMÃOS, LIXAMENTO MANUAL. AF_04/2023</t>
  </si>
  <si>
    <t>3.3.4</t>
  </si>
  <si>
    <r>
      <t xml:space="preserve">PINTURA LÁTEX ACRÍLICA PREMIUM, APLICAÇÃO MANUAL EM TETO, DUAS DEMÃOS. AF_04/2023 </t>
    </r>
    <r>
      <rPr>
        <b/>
        <sz val="10"/>
        <color theme="1"/>
        <rFont val="Times New Roman"/>
        <family val="1"/>
      </rPr>
      <t>(LAJE)</t>
    </r>
  </si>
  <si>
    <t>3.4</t>
  </si>
  <si>
    <t>ESQUADRIAS</t>
  </si>
  <si>
    <t>3.4.1</t>
  </si>
  <si>
    <t>3.4.2</t>
  </si>
  <si>
    <t>3.4.3</t>
  </si>
  <si>
    <t>3.4.4</t>
  </si>
  <si>
    <t>3.4.5</t>
  </si>
  <si>
    <t>3.4.6</t>
  </si>
  <si>
    <t>3.4.7</t>
  </si>
  <si>
    <t>3.4.8</t>
  </si>
  <si>
    <t>PEITORIL LINEAR EM GRANITO OU MÁRMORE, L = 15CM, ASSENTADO COM ARGAMASSA 1:6 COM ADITIVO. AF_11/2020</t>
  </si>
  <si>
    <t>3.5</t>
  </si>
  <si>
    <t>PISOS</t>
  </si>
  <si>
    <t>3.5.1</t>
  </si>
  <si>
    <r>
      <t xml:space="preserve">ARGAMASSA TRAÇO 1:4 (EM VOLUME DE CIMENTO E AREIA MÉDIA ÚMIDA) PARA CONTRAPISO, PREPARO MANUAL. AF_08/2019 </t>
    </r>
    <r>
      <rPr>
        <b/>
        <sz val="10"/>
        <color theme="1"/>
        <rFont val="Times New Roman"/>
        <family val="1"/>
      </rPr>
      <t>(ESCADAS EXISTENTES NO GINÁSIO E DO ACESSO PRINCIPAL)</t>
    </r>
  </si>
  <si>
    <t>3.5.2</t>
  </si>
  <si>
    <t>COMPACTAÇÃO MECÂNICA DE SOLO PARA EXECUÇÃO DE RADIER, PISO DE CONCRETO OU LAJE SOBRE SOLO, COM COMPACTADOR DE SOLOS TIPO PLACA VIBRATÓRIA. AF_09/2021</t>
  </si>
  <si>
    <t>3.5.3</t>
  </si>
  <si>
    <r>
      <t xml:space="preserve">EXECUÇÃO DE PASSEIO (CALÇADA) OU PISO DE CONCRETO COM CONCRETO MOLDADO IN LOCO, USINADO, ACABAMENTO CONVENCIONAL, ESPESSURA 8 CM, ARMADO. AF_08/2022 </t>
    </r>
    <r>
      <rPr>
        <b/>
        <sz val="10"/>
        <color theme="1"/>
        <rFont val="Times New Roman"/>
        <family val="1"/>
      </rPr>
      <t>(PISO DO PÁTIO/HALL E DEMAIS AMBIENTES)</t>
    </r>
  </si>
  <si>
    <t>3.5.4</t>
  </si>
  <si>
    <r>
      <t xml:space="preserve">CONTRAPISO EM ARGAMASSA TRAÇO 1:4 (CIMENTO E AREIA), PREPARO MECÂNICO COM BETONEIRA 400 L, APLICADO EM ÁREAS SECAS SOBRE LAJE, ADERIDO, ACABAMENTO NÃO REFORÇADO, ESPESSURA 3CM. AF_07/2021 </t>
    </r>
    <r>
      <rPr>
        <b/>
        <sz val="10"/>
        <color theme="1"/>
        <rFont val="Times New Roman"/>
        <family val="1"/>
      </rPr>
      <t>(PISO DO PÁTIO/HALL, CIRULAÇÃO GINÁSIO E DEMAIS AMBIENTES)</t>
    </r>
  </si>
  <si>
    <t>3.5.5</t>
  </si>
  <si>
    <r>
      <t xml:space="preserve">REVESTIMENTO CERÂMICO PARA PISO COM PLACAS TIPO PORCELANATO DE DIMENSÕES 80X80 CM APLICADA EM AMBIENTES DE ÁREA MAIOR QUE 10 M². AF_02/2023_PE (ANTIDERRAPANTE - COEFICIENTE DE ATRITO MÍNIMO DE 0,4) </t>
    </r>
    <r>
      <rPr>
        <b/>
        <sz val="10"/>
        <color theme="1"/>
        <rFont val="Times New Roman"/>
        <family val="1"/>
      </rPr>
      <t>(PÁTIO/HALL, DEMAIS AMBIENTES E CIRCULAÇÃO/ESCADAS)</t>
    </r>
  </si>
  <si>
    <t>3.5.6</t>
  </si>
  <si>
    <r>
      <t xml:space="preserve">RODAPÉ CERÂMICO DE 7CM DE ALTURA COM PLACAS TIPO ESMALTADA DE DIMENSÕES 80X80CM. AF_02/2023 </t>
    </r>
    <r>
      <rPr>
        <b/>
        <sz val="10"/>
        <color theme="1"/>
        <rFont val="Times New Roman"/>
        <family val="1"/>
      </rPr>
      <t>(PÁTIO/HALL E DEMAIS AMBIENTES)</t>
    </r>
  </si>
  <si>
    <t>3.5.7</t>
  </si>
  <si>
    <r>
      <t xml:space="preserve">PINTURA DE SÍMBOLOS E TEXTOS COM TINTA ACRÍLICA, DEMARCAÇÃO COM FITA ADESIVA E APLICAÇÃO COM ROLO. AF_05/2021 </t>
    </r>
    <r>
      <rPr>
        <b/>
        <sz val="10"/>
        <color theme="1"/>
        <rFont val="Times New Roman"/>
        <family val="1"/>
      </rPr>
      <t>(DEMARCAÇÃO M.R. PCD)</t>
    </r>
  </si>
  <si>
    <t>3.5.8</t>
  </si>
  <si>
    <r>
      <t xml:space="preserve">PLANTIO DE FORRAÇÃO. AF_07/2024 </t>
    </r>
    <r>
      <rPr>
        <b/>
        <sz val="10"/>
        <color theme="1"/>
        <rFont val="Times New Roman"/>
        <family val="1"/>
      </rPr>
      <t>(AMENDOIM RASTEIRO OU SEMELHANTE)</t>
    </r>
  </si>
  <si>
    <t>3.5.9</t>
  </si>
  <si>
    <r>
      <t xml:space="preserve">DRENO SUBSUPERFICIAL (SEÇÃO 0,40 X 0,40 M), COM TUBO DE CONCRETO SIMPLES POROSO, DN 200 MM, ENCHIMENTO COM BRITA, ENVOLVIDO COM MANTA GEOTÊXTIL. AF_07/2021 </t>
    </r>
    <r>
      <rPr>
        <b/>
        <sz val="10"/>
        <color theme="1"/>
        <rFont val="Times New Roman"/>
        <family val="1"/>
      </rPr>
      <t>(DRENO ENTRE CONSTRUÇÃO E MURO DE CONTENÇÃO)</t>
    </r>
  </si>
  <si>
    <t>3.6</t>
  </si>
  <si>
    <t>LOUÇAS, METAIS E ACESSÓRIOS</t>
  </si>
  <si>
    <t>3.6.1</t>
  </si>
  <si>
    <t>BACIA SANITÁRIA COM CAIXA ACOPLADA LOUÇA BRANCA - PADRÃO MÉDIO, INCLUSO ENGATE FLEXÍVEL EM METAL CROMADO, 1/2" X 40 CM - FORNECIMENTO E INSTALAÇÃO. AF_02/2026</t>
  </si>
  <si>
    <t>3.6.2</t>
  </si>
  <si>
    <r>
      <t xml:space="preserve">BACIA SANITÁRIA EM LOUÇA BRANCA PARA PCD SEM FURO FRONTAL, COM TUBO DE LIGAÇÃO CROMADO - FORNECIMENTO E INSTALAÇÃO. AF_02/2026_PS </t>
    </r>
    <r>
      <rPr>
        <b/>
        <sz val="10"/>
        <color theme="1"/>
        <rFont val="Times New Roman"/>
        <family val="1"/>
      </rPr>
      <t>(ACIONAMENTO ELEVADO)</t>
    </r>
  </si>
  <si>
    <t>3.6.3</t>
  </si>
  <si>
    <t>MICTÓRIO SIFONADO COM VÁLVULA DE DESCARGA EM LOUÇA BRANCA - PADRÃO MÉDIO - FORNECIMENTO E INSTALAÇÃO. AF_02/2026</t>
  </si>
  <si>
    <t>3.6.4</t>
  </si>
  <si>
    <t>LAVATÓRIO LOUÇA BRANCA COM COLUNA SUSPENSA, *44 X 35* CM, INCLUSO SIFÃO FLEXÍVEL EM PVC, VÁLVULA E ENGATE FLEXÍVEL 30 CM EM PLÁSTICO E COM TORNEIRA CROMADA PADRÃO POPULAR - FORNECIMENTO E INSTALAÇÃO. AF_02/2026</t>
  </si>
  <si>
    <t>3.6.5</t>
  </si>
  <si>
    <t>3.6.6</t>
  </si>
  <si>
    <t>3.6.7</t>
  </si>
  <si>
    <t>3.6.8</t>
  </si>
  <si>
    <t>3.6.9</t>
  </si>
  <si>
    <t>BARRA DE APOIO RETA, EM AÇO INOX POLIDO, COMPRIMENTO 70 CM, FIXADA NA PAREDE - FORNECIMENTO E INSTALAÇÃO. AF_02/2026</t>
  </si>
  <si>
    <t>3.6.10</t>
  </si>
  <si>
    <t>BARRA DE APOIO RETA, EM AÇO INOX POLIDO, COMPRIMENTO 80 CM, FIXADA NA PAREDE - FORNECIMENTO E INSTALAÇÃO. AF_02/2026</t>
  </si>
  <si>
    <t>3.6.11</t>
  </si>
  <si>
    <t>DISPENSER METÁLICO PARA PAPEL HIGIÊNICO, INCLUSO FIXAÇÃO. AF_02/2026</t>
  </si>
  <si>
    <t>3.6.12</t>
  </si>
  <si>
    <t>SABONETEIRA PLÁSTICA TIPO DISPENSER PARA SABONETE LÍQUIDO COM RESERVATÓRIO 800 A 1500 ML, INCLUSO FIXAÇÃO. AF_02/2026</t>
  </si>
  <si>
    <t>3.6.13</t>
  </si>
  <si>
    <t>DISPENSER DE METAL PARA TOALHA DE PAPEL INTERFOLHADA, INCLUSO FIXAÇÃO. AF_02/2026</t>
  </si>
  <si>
    <t>3.6.14</t>
  </si>
  <si>
    <t>3.6.15</t>
  </si>
  <si>
    <t>CONSTRUÇÃO SEGUNDO PAVTO - FRENTE</t>
  </si>
  <si>
    <t>4.1</t>
  </si>
  <si>
    <t>4.1.1</t>
  </si>
  <si>
    <t>4.1.2</t>
  </si>
  <si>
    <t>4.1.3</t>
  </si>
  <si>
    <t>4.1.4</t>
  </si>
  <si>
    <t>4.1.5</t>
  </si>
  <si>
    <t>4.1.6</t>
  </si>
  <si>
    <t>4.1.7</t>
  </si>
  <si>
    <t>APLICAÇÃO MANUAL DE FUNDO SELADOR ACRÍLICO EM SUPERFÍCIES EXTERNAS DE SACADA DE EDIFÍCIOS DE MÚLTIPLOS PAVIMENTOS. AF_03/2024</t>
  </si>
  <si>
    <t>4.1.8</t>
  </si>
  <si>
    <t>4.1.9</t>
  </si>
  <si>
    <t>4.1.10</t>
  </si>
  <si>
    <r>
      <t xml:space="preserve">REVESTIMENTO CERÂMICO PARA PAREDES INTERNAS COM PLACAS TIPO ESMALTADA DE DIMENSÕES 60X60 CM APLICADAS A MEIA ALTURA DAS PAREDES. AF_02/2023_PE </t>
    </r>
    <r>
      <rPr>
        <b/>
        <sz val="10"/>
        <color rgb="FF000000"/>
        <rFont val="Times New Roman"/>
        <family val="1"/>
      </rPr>
      <t>(BANHEIROS)</t>
    </r>
  </si>
  <si>
    <t>4.1.11</t>
  </si>
  <si>
    <t>4.2</t>
  </si>
  <si>
    <t>4.2.1</t>
  </si>
  <si>
    <t>4.2.2</t>
  </si>
  <si>
    <t>4.2.3</t>
  </si>
  <si>
    <t>4.2.4</t>
  </si>
  <si>
    <t>4.3</t>
  </si>
  <si>
    <t>4.3.1</t>
  </si>
  <si>
    <t>4.3.2</t>
  </si>
  <si>
    <t>4.3.3</t>
  </si>
  <si>
    <t>4.3.4</t>
  </si>
  <si>
    <t>4.3.5</t>
  </si>
  <si>
    <t>4.4</t>
  </si>
  <si>
    <t>PISOS E LAJES</t>
  </si>
  <si>
    <t>4.4.1</t>
  </si>
  <si>
    <t>CONTRAPISO EM ARGAMASSA TRAÇO 1:4 (CIMENTO E AREIA), PREPARO MECÂNICO COM BETONEIRA 400 L, APLICADO EM ÁREAS SECAS SOBRE LAJE, ADERIDO, ACABAMENTO NÃO REFORÇADO, ESPESSURA 3CM. AF_07/2021</t>
  </si>
  <si>
    <t>4.4.2</t>
  </si>
  <si>
    <t xml:space="preserve">REVESTIMENTO CERÂMICO PARA PISO COM PLACAS TIPO PORCELANATO DE DIMENSÕES 80X80 CM APLICADA EM AMBIENTES DE ÁREA MAIOR QUE 10 M². AF_02/2023_PE (ANTIDERRAPANTE - COEFICIENTE DE ATRITO MÍNIMO DE 0,4) </t>
  </si>
  <si>
    <t>4.4.3</t>
  </si>
  <si>
    <r>
      <t xml:space="preserve">RODAPÉ CERÂMICO DE 7CM DE ALTURA COM PLACAS TIPO ESMALTADA DE DIMENSÕES 80X80CM. AF_02/2023 </t>
    </r>
    <r>
      <rPr>
        <b/>
        <sz val="10"/>
        <color theme="1"/>
        <rFont val="Times New Roman"/>
        <family val="1"/>
      </rPr>
      <t>(HALL E DEMAIS AMBIENTES)</t>
    </r>
  </si>
  <si>
    <t>4.5</t>
  </si>
  <si>
    <t>4.5.1</t>
  </si>
  <si>
    <t>4.5.2</t>
  </si>
  <si>
    <t>4.5.3</t>
  </si>
  <si>
    <t>4.5.4</t>
  </si>
  <si>
    <t>4.5.5</t>
  </si>
  <si>
    <t>4.5.6</t>
  </si>
  <si>
    <t>4.5.7</t>
  </si>
  <si>
    <t>4.5.8</t>
  </si>
  <si>
    <t>4.5.9</t>
  </si>
  <si>
    <t>4.5.10</t>
  </si>
  <si>
    <t>CONSTRUÇÃO COBERTURA/PLATIBANDA - FRENTE</t>
  </si>
  <si>
    <t>5.1</t>
  </si>
  <si>
    <t>5.1.1</t>
  </si>
  <si>
    <t>5.1.2</t>
  </si>
  <si>
    <t>5.1.3</t>
  </si>
  <si>
    <r>
      <t xml:space="preserve">CHAPISCO APLICADO EM ALVENARIA (COM PRESENÇA DE VÃOS) E ESTRUTURAS DE CONCRETO DE FACHADA, COM COLHER DE PEDREIRO. ARGAMASSA TRAÇO 1:3 COM PREPARO EM BETONEIRA 400L. AF_10/2022 </t>
    </r>
    <r>
      <rPr>
        <b/>
        <sz val="10"/>
        <color rgb="FF000000"/>
        <rFont val="Times New Roman"/>
        <family val="1"/>
      </rPr>
      <t>(INCLUSO LAJE DE COBERTURA DA ESCADA)</t>
    </r>
  </si>
  <si>
    <t>5.1.4</t>
  </si>
  <si>
    <t>5.1.5</t>
  </si>
  <si>
    <r>
      <t xml:space="preserve">IMPERMEABILIZAÇÃO DE SUPERFÍCIE COM ARGAMASSA POLIMÉRICA / MEMBRANA ACRÍLICA, 3 DEMÃOS. AF_09/2023 </t>
    </r>
    <r>
      <rPr>
        <b/>
        <sz val="10"/>
        <color rgb="FF000000"/>
        <rFont val="Times New Roman"/>
        <family val="1"/>
      </rPr>
      <t>(LAJE)</t>
    </r>
  </si>
  <si>
    <t>5.1.6</t>
  </si>
  <si>
    <t>5.1.7</t>
  </si>
  <si>
    <t>5.1.8</t>
  </si>
  <si>
    <t>5.1.9</t>
  </si>
  <si>
    <t>5.2</t>
  </si>
  <si>
    <t>PISO RESERVATÓRIO</t>
  </si>
  <si>
    <t>5.2.1</t>
  </si>
  <si>
    <t>5.2.2</t>
  </si>
  <si>
    <t>REVESTIMENTO CERÂMICO PARA PISO COM PLACAS TIPO ESMALTADA DE DIMENSÕES 60X60 CM APLICADA EM AMBIENTES DE ÁREA MAIOR QUE 10 M2. AF_02/2023_PE</t>
  </si>
  <si>
    <t>5.2.3</t>
  </si>
  <si>
    <t>RODAPÉ CERÂMICO DE 7CM DE ALTURA COM PLACAS TIPO ESMALTADA DE DIMENSÕES 80X80CM. AF_02/2023</t>
  </si>
  <si>
    <t>5.3</t>
  </si>
  <si>
    <t>5.3.1</t>
  </si>
  <si>
    <t>FORRO EM FIBRA MINERAL, PARA AMBIENTES COMERCIAIS, INCLUSIVE ESTRUTURA DE FIXAÇÃO. AF_08/2023_PS</t>
  </si>
  <si>
    <t>5.4</t>
  </si>
  <si>
    <t>COBERTURA</t>
  </si>
  <si>
    <t>5.4.1</t>
  </si>
  <si>
    <t>FABRICAÇÃO E INSTALAÇÃO DE TESOURA INTEIRA EM AÇO, VÃO DE 6 M, PARA TELHA ONDULADA DE FIBROCIMENTO, METÁLICA, PLÁSTICA OU TERMOACÚSTICA, INCLUSO IÇAMENTO, EXCLUSIVE PINTURA. AF_10/2025</t>
  </si>
  <si>
    <t>5.4.2</t>
  </si>
  <si>
    <t>FABRICAÇÃO E INSTALAÇÃO DE TESOURA INTEIRA EM AÇO, VÃO DE 12 M, PARA TELHA ONDULADA DE FIBROCIMENTO, METÁLICA, PLÁSTICA OU TERMOACÚSTICA, INCLUSO IÇAMENTO, EXCLUSIVE PINTURA. AF_10/2025</t>
  </si>
  <si>
    <t>5.4.3</t>
  </si>
  <si>
    <t>TRAMA DE AÇO COMPOSTA POR TERÇAS PARA TELHADOS DE ATÉ 2 ÁGUAS PARA TELHA ONDULADA DE FIBROCIMENTO, METÁLICA, PLÁSTICA OU TERMOACÚSTICA, INCLUSO TRANSPORTE VERTICAL, EXCLUSIVE PINTURA. AF_10/2025_PS</t>
  </si>
  <si>
    <t>5.4.4</t>
  </si>
  <si>
    <t>5.4.5</t>
  </si>
  <si>
    <t>TELHAMENTO COM TELHA METÁLICA TERMOACÚSTICA E = 30 MM, COM ATÉ 2 ÁGUAS, INCLUSO IÇAMENTO. AF_07/2019</t>
  </si>
  <si>
    <t>5.4.6</t>
  </si>
  <si>
    <t>RUFO EXTERNO/INTERNO EM CHAPA DE AÇO GALVANIZADO NÚMERO 26, CORTE DE 33 CM, INCLUSO IÇAMENTO. AF_07/2019</t>
  </si>
  <si>
    <t>5.4.7</t>
  </si>
  <si>
    <t>CALHA EM CHAPA DE AÇO GALVANIZADO NÚMERO 24, DESENVOLVIMENTO DE 100 CM, INCLUSO TRANSPORTE VERTICAL. AF_07/2019</t>
  </si>
  <si>
    <t>5.4.10</t>
  </si>
  <si>
    <t>CONSTRUÇÃO PAVTO TÉRREO - FUNDOS</t>
  </si>
  <si>
    <t>6.1</t>
  </si>
  <si>
    <t>6.1.1</t>
  </si>
  <si>
    <r>
      <t xml:space="preserve">ALVENARIA DE VEDAÇÃO DE BLOCOS CERÂMICOS FURADOS NA HORIZONTAL DE 14X19X29 CM (ESPESSURA 14 CM) E ARGAMASSA DE ASSENTAMENTO COM PREPARO EM BETONEIRA. AF_12/2021 </t>
    </r>
    <r>
      <rPr>
        <b/>
        <sz val="10"/>
        <color rgb="FF000000"/>
        <rFont val="Times New Roman"/>
        <family val="1"/>
      </rPr>
      <t xml:space="preserve">(INCLUSO TELA DE AÇO SOLDADA PARA JUNÇÃO DA ALVENARIA COM A ESTRUTURA - PAREDES TÉRREO, PATAMAR ARQUIBANCADA E CIRULAÇÃO EXTERNA) </t>
    </r>
  </si>
  <si>
    <t>6.1.2</t>
  </si>
  <si>
    <t>6.1.3</t>
  </si>
  <si>
    <t>6.1.4</t>
  </si>
  <si>
    <t>6.1.5</t>
  </si>
  <si>
    <t>6.1.6</t>
  </si>
  <si>
    <t>6.1.7</t>
  </si>
  <si>
    <t>6.1.8</t>
  </si>
  <si>
    <t>6.1.9</t>
  </si>
  <si>
    <r>
      <t xml:space="preserve">REVESTIMENTO CERÂMICO PARA PAREDES INTERNAS COM PLACAS TIPO ESMALTADA DE DIMENSÕES 60X60 CM APLICADAS A MEIA ALTURA DAS PAREDES. AF_02/2023_PE </t>
    </r>
    <r>
      <rPr>
        <b/>
        <sz val="10"/>
        <color rgb="FF000000"/>
        <rFont val="Times New Roman"/>
        <family val="1"/>
      </rPr>
      <t>(VESTIÁRIO MÁSCULINO E FEMININO, LAVANDERIA E BANHEIRO PÚBLICO)</t>
    </r>
  </si>
  <si>
    <t>6.1.10</t>
  </si>
  <si>
    <r>
      <t xml:space="preserve">REVESTIMENTO CERÂMICO PARA PAREDES INTERNAS COM PLACAS TIPO ESMALTADA DE DIMENSÕES 60X60 CM APLICADAS NA ALTURA INTEIRA DAS PAREDES. AF_02/2023_PE </t>
    </r>
    <r>
      <rPr>
        <b/>
        <sz val="10"/>
        <color rgb="FF000000"/>
        <rFont val="Times New Roman"/>
        <family val="1"/>
      </rPr>
      <t>(VESTIÁRIO ACESSÍVEL)</t>
    </r>
  </si>
  <si>
    <t>6.1.11</t>
  </si>
  <si>
    <t>6.1.12</t>
  </si>
  <si>
    <r>
      <t xml:space="preserve">GUARDA-CORPO DE AÇO GALVANIZADO DE 1,10M (COM PINTURA DE PROTEÇÃO), MONTANTES TUBULARES DE 1.1/4" ESPAÇADOS 1,20M, TRAVESSA SUPERIOR DE 1.1/2", GRADIL FORMADO POR TUBOS HORIZONTAIS DE 1" E VERTICAIS DE 3/4", FIXADO COM ADESIVO ESTRUTURAL EPOXI. AF_10/2025_PS </t>
    </r>
    <r>
      <rPr>
        <b/>
        <sz val="10"/>
        <color theme="1"/>
        <rFont val="Times New Roman"/>
        <family val="1"/>
      </rPr>
      <t>(ESCADA INTERNA E CIRCULAÇÃO)</t>
    </r>
  </si>
  <si>
    <t>6.2</t>
  </si>
  <si>
    <t>ESTRUTURAL CIRCULAÇÃO</t>
  </si>
  <si>
    <t>6.2.1</t>
  </si>
  <si>
    <t>ESCAVAÇÃO VERTICAL PARA EDIFICAÇÃO, COM CARGA, DESCARGA E TRANSPORTE DE SOLO DE 1ª CATEGORIA, COM ESCAVADEIRA HIDRÁULICA (CAÇAMBA: 0,8 M³ / 111 HP), FROTA DE 2 CAMINHÕES BASCULANTES DE 18 M³, DMT ATÉ 1 KM E VELOCIDADE MÉDIA 14 KM/H. AF_05/2020</t>
  </si>
  <si>
    <t>6.2.2</t>
  </si>
  <si>
    <t>LASTRO COM MATERIAL GRANULAR, APLICADO SOBRE SOLO, ESPESSURA DE *5 CM*. AF_01/2024</t>
  </si>
  <si>
    <t>6.2.3</t>
  </si>
  <si>
    <t>ARMAÇÃO DE SAPATA ISOLADA, VIGA BALDRAME E SAPATA CORRIDA UTILIZANDO AÇO CA-50 DE 8 MM - MONTAGEM. AF_01/2024</t>
  </si>
  <si>
    <t>KG</t>
  </si>
  <si>
    <t>6.2.4</t>
  </si>
  <si>
    <t>FABRICAÇÃO, MONTAGEM E DESMONTAGEM DE FÔRMA PARA VIGA BALDRAME, EM MADEIRA SERRADA, E=25 MM, 1 UTILIZAÇÃO. AF_01/2024</t>
  </si>
  <si>
    <t>6.2.5</t>
  </si>
  <si>
    <t>CONCRETAGEM DE SAPATA, FCK 30 MPA, COM USO DE BOMBA - LANÇAMENTO, ADENSAMENTO E ACABAMENTO. AF_01/2024</t>
  </si>
  <si>
    <t>6.2.6</t>
  </si>
  <si>
    <t>ARMAÇÃO DE PILAR OU VIGA DE ESTRUTURA CONVENCIONAL DE CONCRETO ARMADO UTILIZANDO AÇO CA-60 DE 5,0 MM - MONTAGEM. AF_06/2022</t>
  </si>
  <si>
    <t>6.2.7</t>
  </si>
  <si>
    <t>ARMAÇÃO DE PILAR OU VIGA DE ESTRUTURA CONVENCIONAL DE CONCRETO ARMADO UTILIZANDO AÇO CA-50 DE 8,0 MM - MONTAGEM. AF_06/2022</t>
  </si>
  <si>
    <t>6.2.8</t>
  </si>
  <si>
    <t>ARMAÇÃO DE PILAR OU VIGA DE ESTRUTURA CONVENCIONAL DE CONCRETO ARMADO UTILIZANDO AÇO CA-50 DE 10,0 MM - MONTAGEM. AF_06/2022</t>
  </si>
  <si>
    <t>6.2.9</t>
  </si>
  <si>
    <t>MONTAGEM E DESMONTAGEM DE FÔRMA DE PILARES RETANGULARES E ESTRUTURAS SIMILARES, PÉ-DIREITO SIMPLES, EM CHAPA DE MADEIRA COMPENSADA RESINADA, 2 UTILIZAÇÕES. AF_09/2020</t>
  </si>
  <si>
    <t>6.2.10</t>
  </si>
  <si>
    <t>CONCRETAGEM DE PILARES, FCK = 30 MPA, COM USO DE BOMBA - LANÇAMENTO, ADENSAMENTO E ACABAMENTO. AF_02/2022_PS</t>
  </si>
  <si>
    <t>6.3</t>
  </si>
  <si>
    <t>6.3.1</t>
  </si>
  <si>
    <t>6.3.2</t>
  </si>
  <si>
    <t>6.3.3</t>
  </si>
  <si>
    <t>6.3.4</t>
  </si>
  <si>
    <t>6.4</t>
  </si>
  <si>
    <t>6.4.1</t>
  </si>
  <si>
    <t>FORRO EM RÉGUAS DE PVC, LISO, JUNTA SECA, PARA AMBIENTES RESIDENCIAIS, INCLUSIVE ESTRUTURA UNIDIRECIONAL DE FIXAÇÃO. AF_08/2023_PS</t>
  </si>
  <si>
    <t>6.5</t>
  </si>
  <si>
    <t>6.5.1</t>
  </si>
  <si>
    <t>6.5.2</t>
  </si>
  <si>
    <t>6.5.3</t>
  </si>
  <si>
    <t>6.5.4</t>
  </si>
  <si>
    <r>
      <t xml:space="preserve">PORTA EM ALUMÍNIO DE ABRIR TIPO VENEZIANA COM GUARNIÇÃO, FIXAÇÃO EM DIVISÓRIA DE GRANITO - FORNECIMENTO E INSTALAÇÃO. AF_10/2025 </t>
    </r>
    <r>
      <rPr>
        <b/>
        <sz val="10"/>
        <color rgb="FF000000"/>
        <rFont val="Times New Roman"/>
        <family val="1"/>
      </rPr>
      <t>(BOX SANITÁRIO E CHUVEIRO)</t>
    </r>
  </si>
  <si>
    <t>6.5.5</t>
  </si>
  <si>
    <t>6.5.6</t>
  </si>
  <si>
    <t>6.5.7</t>
  </si>
  <si>
    <t>6.5.8</t>
  </si>
  <si>
    <t>6.5.9</t>
  </si>
  <si>
    <t>6.5.10</t>
  </si>
  <si>
    <t>6.5.11</t>
  </si>
  <si>
    <t>6.6</t>
  </si>
  <si>
    <t>6.6.1</t>
  </si>
  <si>
    <t>6.6.2</t>
  </si>
  <si>
    <r>
      <t xml:space="preserve">EXECUÇÃO DE PASSEIO (CALÇADA) OU PISO DE CONCRETO COM CONCRETO MOLDADO IN LOCO, USINADO, ACABAMENTO CONVENCIONAL, ESPESSURA 8 CM, ARMADO. AF_08/2022 </t>
    </r>
    <r>
      <rPr>
        <b/>
        <sz val="10"/>
        <color theme="1"/>
        <rFont val="Times New Roman"/>
        <family val="1"/>
      </rPr>
      <t>(INCLUSO ESCADAS)</t>
    </r>
  </si>
  <si>
    <t>6.6.3</t>
  </si>
  <si>
    <r>
      <t>CONTRAPISO EM ARGAMASSA TRAÇO 1:4 (CIMENTO E AREIA), PREPARO MECÂNICO COM BETONEIRA 400 L, APLICADO EM ÁREAS SECAS SOBRE LAJE, ADERIDO, ACABAMENTO NÃO REFORÇADO, ESPESSURA 3CM. AF_07/2021 (</t>
    </r>
    <r>
      <rPr>
        <b/>
        <sz val="10"/>
        <color theme="1"/>
        <rFont val="Times New Roman"/>
        <family val="1"/>
      </rPr>
      <t>(INCLUSO ESCADAS)</t>
    </r>
  </si>
  <si>
    <t>6.6.4</t>
  </si>
  <si>
    <r>
      <t xml:space="preserve">REVESTIMENTO CERÂMICO PARA PISO COM PLACAS TIPO PORCELANATO DE DIMENSÕES 80X80 CM APLICADA EM AMBIENTES DE ÁREA MAIOR QUE 10 M². AF_02/2023_PE </t>
    </r>
    <r>
      <rPr>
        <b/>
        <sz val="10"/>
        <color theme="1"/>
        <rFont val="Times New Roman"/>
        <family val="1"/>
      </rPr>
      <t>(ANTIDERRAPANTE - COEFICIENTE DE ATRITO MÍNIMO DE 0,4) (INCLUSO ESCADAS)</t>
    </r>
  </si>
  <si>
    <t>6.6.5</t>
  </si>
  <si>
    <r>
      <t xml:space="preserve">RODAPÉ CERÂMICO DE 7CM DE ALTURA COM PLACAS TIPO ESMALTADA DE DIMENSÕES 80X80CM. AF_02/2023 </t>
    </r>
    <r>
      <rPr>
        <b/>
        <sz val="10"/>
        <color theme="1"/>
        <rFont val="Times New Roman"/>
        <family val="1"/>
      </rPr>
      <t>(AMBIENTES SEM REVESTIMENTO NA PAREDE)</t>
    </r>
  </si>
  <si>
    <t>PINTURA DE SÍMBOLOS E TEXTOS COM TINTA ACRÍLICA, DEMARCAÇÃO COM FITA ADESIVA E APLICAÇÃO COM ROLO. AF_05/2021</t>
  </si>
  <si>
    <t>6.6.6</t>
  </si>
  <si>
    <t>6.6.7</t>
  </si>
  <si>
    <t>DRENO SUBSUPERFICIAL (SEÇÃO 0,40 X 0,40 M), COM TUBO DE CONCRETO SIMPLES POROSO, DN 200 MM, ENCHIMENTO COM BRITA, ENVOLVIDO COM MANTA GEOTÊXTIL. AF_07/2021</t>
  </si>
  <si>
    <t>6.7</t>
  </si>
  <si>
    <t>6.7.1</t>
  </si>
  <si>
    <t>6.7.2</t>
  </si>
  <si>
    <t>6.7.3</t>
  </si>
  <si>
    <t>6.7.4</t>
  </si>
  <si>
    <t>6.7.5</t>
  </si>
  <si>
    <t>CHUVEIRO ELÉTRICO COMUM CORPO PLÁSTICO, TIPO DUCHA - FORNECIMENTO E INSTALAÇÃO. AF_02/2026</t>
  </si>
  <si>
    <t>6.7.6</t>
  </si>
  <si>
    <t>ACABAMENTO MONOCOMANDO PARA CHUVEIRO - FORNECIMENTO E INSTALAÇÃO. AF_02/2026</t>
  </si>
  <si>
    <t>6.7.7</t>
  </si>
  <si>
    <t>DUCHA HIGIÊNICA EM METAL CROMADO, COM GATILHO E REGISTRO - FORNECIMENTO E INSTALAÇÃO. AF_02/2026</t>
  </si>
  <si>
    <t>6.7.8</t>
  </si>
  <si>
    <t>BANCO ARTICULADO, EM AÇO INOX, PARA PCD, FIXADO NA PAREDE - FORNECIMENTO E INSTALAÇÃO. AF_02/2026</t>
  </si>
  <si>
    <t>6.7.9</t>
  </si>
  <si>
    <t>TORNEIRA CROMADA DE MESA COM ALAVANCA, PARA LAVATÓRIO DE SANITÁRIO PCD - FORNECIMENTO E INSTALAÇÃO. AF_02/2026</t>
  </si>
  <si>
    <t>6.7.10</t>
  </si>
  <si>
    <t>6.7.11</t>
  </si>
  <si>
    <t>6.7.12</t>
  </si>
  <si>
    <t>6.7.13</t>
  </si>
  <si>
    <t>6.7.14</t>
  </si>
  <si>
    <t>6.7.15</t>
  </si>
  <si>
    <t>6.7.16</t>
  </si>
  <si>
    <t>BARRA DE APOIO EM "L", EM AÇO INOX POLIDO 70 X 70 CM, FIXADA NA PAREDE - FORNECIMENTO E INSTALAÇÃO. AF_02/2026</t>
  </si>
  <si>
    <t>6.7.17</t>
  </si>
  <si>
    <t>6.7.18</t>
  </si>
  <si>
    <t>6.7.19</t>
  </si>
  <si>
    <t>6.7.20</t>
  </si>
  <si>
    <t>6.7.21</t>
  </si>
  <si>
    <t>6.7.22</t>
  </si>
  <si>
    <t>SABONETEIRA DE PAREDE EM METAL CROMADO, INCLUSO FIXAÇÃO. AF_02/2026</t>
  </si>
  <si>
    <t>6.7.23</t>
  </si>
  <si>
    <t>PORTA TOALHA BANHO EM METAL CROMADO, TIPO BARRA, INCLUSO FIXAÇÃO. AF_02/2026</t>
  </si>
  <si>
    <t>6.7.24</t>
  </si>
  <si>
    <t>CONSTRUÇÃO SEGUNDO PAVTO - FUNDOS</t>
  </si>
  <si>
    <t>7.1</t>
  </si>
  <si>
    <t>7.1.1</t>
  </si>
  <si>
    <t>7.1.2</t>
  </si>
  <si>
    <t>7.1.3</t>
  </si>
  <si>
    <t>7.1.4</t>
  </si>
  <si>
    <t>7.1.5</t>
  </si>
  <si>
    <t>7.1.6</t>
  </si>
  <si>
    <t>7.1.7</t>
  </si>
  <si>
    <t>7.1.8</t>
  </si>
  <si>
    <t>7.2</t>
  </si>
  <si>
    <t>7.2.1</t>
  </si>
  <si>
    <t>FORRO EM RÉGUAS DE PVC, LISO, JUNTA SECA, PARA AMBIENTES COMERCIAIS, INCLUSIVE ESTRUTURA BIDIRECIONAL DE FIXAÇÃO. AF_08/2023_PS</t>
  </si>
  <si>
    <t>7.3</t>
  </si>
  <si>
    <t>7.3.1</t>
  </si>
  <si>
    <t>7.3.2</t>
  </si>
  <si>
    <r>
      <t xml:space="preserve">PORTA EM ALUMÍNIO DE ABRIR TIPO VENEZIANA COM GUARNIÇÃO, FIXAÇÃO EM ALVENARIA - FORNECIMENTO E INSTALAÇÃO. AF_10/2025 </t>
    </r>
    <r>
      <rPr>
        <b/>
        <sz val="10"/>
        <color rgb="FF000000"/>
        <rFont val="Times New Roman"/>
        <family val="1"/>
      </rPr>
      <t>(RESERVATÓRIO)</t>
    </r>
  </si>
  <si>
    <t>7.3.3</t>
  </si>
  <si>
    <t>7.4</t>
  </si>
  <si>
    <t>7.4.1</t>
  </si>
  <si>
    <t>7.4.2</t>
  </si>
  <si>
    <t>7.4.3</t>
  </si>
  <si>
    <t>CONSTRUÇÃO COBERTURA/PLATIBANDA - FUNDOS</t>
  </si>
  <si>
    <t>8.1</t>
  </si>
  <si>
    <t>8.1.1</t>
  </si>
  <si>
    <t>8.1.2</t>
  </si>
  <si>
    <t>8.1.3</t>
  </si>
  <si>
    <t>8.1.4</t>
  </si>
  <si>
    <t>8.1.5</t>
  </si>
  <si>
    <t>8.1.6</t>
  </si>
  <si>
    <t>8.2</t>
  </si>
  <si>
    <t>8.2.1</t>
  </si>
  <si>
    <t>FABRICAÇÃO E INSTALAÇÃO DE TESOURA EM AÇO, VÃO DE 7 M, PARA TELHA ONDULADA DE FIBROCIMENTO, METÁLICA, PLÁSTICA OU TERMOACÚSTICA, INCLUSO IÇAMENTO, EXCLUSIVE PINTURA. AF_10/2025</t>
  </si>
  <si>
    <t>8.2.2</t>
  </si>
  <si>
    <t>FABRICAÇÃO E INSTALAÇÃO DE TESOURA EM AÇO, VÃO DE 10 M, PARA TELHA ONDULADA DE FIBROCIMENTO, METÁLICA, PLÁSTICA OU TERMOACÚSTICA, INCLUSO IÇAMENTO, EXCLUSIVE PINTURA. AF_10/2025</t>
  </si>
  <si>
    <t>8.2.3</t>
  </si>
  <si>
    <t>8.2.4</t>
  </si>
  <si>
    <t>8.2.5</t>
  </si>
  <si>
    <t>8.2.6</t>
  </si>
  <si>
    <t>8.2.7</t>
  </si>
  <si>
    <t>CLIMATIZAÇÃO</t>
  </si>
  <si>
    <t>9.1</t>
  </si>
  <si>
    <t>AR CONDICIONADO SPLIT ON/OFF, PISO TETO, 60.000 BTU/H, CICLO FRIO - FORNECIMENTO E INSTALAÇÃO. AF_11/2021_PE</t>
  </si>
  <si>
    <t>HIDRÁULICA</t>
  </si>
  <si>
    <t>10.1</t>
  </si>
  <si>
    <t>10.1.1</t>
  </si>
  <si>
    <t>CAIXA ENTERRADA HIDRÁULICA RETANGULAR, EM CONCRETO PRÉ-MOLDADO, DIMENSÕES INTERNAS: 0,6X0,6X0,5 M. AF_12/2020</t>
  </si>
  <si>
    <t>10.1.2</t>
  </si>
  <si>
    <t>ORSE</t>
  </si>
  <si>
    <t>PRESSURIZADOR ATÉ 12mca/160w/220v - FORNECIMENTO E INSTALAÇÃO</t>
  </si>
  <si>
    <t>10.1.3</t>
  </si>
  <si>
    <t>10.1.4</t>
  </si>
  <si>
    <t>10.1.5</t>
  </si>
  <si>
    <t>10.1.6</t>
  </si>
  <si>
    <t>10.1.7</t>
  </si>
  <si>
    <t>10.1.8</t>
  </si>
  <si>
    <t>10.1.9</t>
  </si>
  <si>
    <t>10.2</t>
  </si>
  <si>
    <t>10.2.1</t>
  </si>
  <si>
    <t>10.2.2</t>
  </si>
  <si>
    <t>10.2.3</t>
  </si>
  <si>
    <t>10.2.4</t>
  </si>
  <si>
    <t>10.2.5</t>
  </si>
  <si>
    <t>10.2.6</t>
  </si>
  <si>
    <t>10.2.7</t>
  </si>
  <si>
    <t>ESGOTO E PLUVIAL</t>
  </si>
  <si>
    <t>11.1</t>
  </si>
  <si>
    <t>11.1.1</t>
  </si>
  <si>
    <t>11.1.2</t>
  </si>
  <si>
    <t>11.1.3</t>
  </si>
  <si>
    <t>TERMINAL DE VENTILAÇÃO, PVC, SÉRIE NORMAL, ESGOTO PREDIAL, DN 75 MM, JUNTA SOLDÁVEL, FORNECIDO E INSTALADO EM PRUMADA DE ESGOTO SANITÁRIO OU VENTILAÇÃO. AF_08/2022</t>
  </si>
  <si>
    <t>11.1.4</t>
  </si>
  <si>
    <t>11.1.5</t>
  </si>
  <si>
    <t>11.1.6</t>
  </si>
  <si>
    <t>RALO SIFONADO, PVC, DN 100 X 40 MM, JUNTA SOLDÁVEL, FORNECIDO E INSTALADO EM RAMAL DE DESCARGA OU EM RAMAL DE ESGOTO SANITÁRIO. AF_08/2022</t>
  </si>
  <si>
    <t>11.1.7</t>
  </si>
  <si>
    <t>CAIXA DE GORDURA PEQUENA (CAPACIDADE: 19 L), CIRCULAR, EM PVC, DIÂMETRO INTERNO= 0,3 M. AF_12/2020</t>
  </si>
  <si>
    <t>11.1.8</t>
  </si>
  <si>
    <t>11.1.9</t>
  </si>
  <si>
    <t>TUBO PVC, SÉRIE R, ÁGUA PLUVIAL, DN 100 MM, FORNECIDO E INSTALADO EM CONDUTORES VERTICAIS DE ÁGUAS PLUVIAIS. AF_06/2022</t>
  </si>
  <si>
    <t>11.1.10</t>
  </si>
  <si>
    <t>TUBO PVC, SÉRIE R, ÁGUA PLUVIAL, DN 100 MM, FORNECIDO E INSTALADO EM RAMAL DE ENCAMINHAMENTO. AF_06/2022</t>
  </si>
  <si>
    <t>11.1.11</t>
  </si>
  <si>
    <t>FIXAÇÃO DE TUBOS VERTICAIS DE PVC ÁGUA, PVC ESGOTO, PVC ÁGUA PLUVIAL, CPVC, PPR, COBRE OU AÇO, DIÂMETROS MAIORES QUE 75 MM E MENORES OU IGUAIS A 100 MM, COM ABRAÇADEIRA METÁLICA RÍGIDA TIPO U PERFIL 4", FIXADA EM PERFILADO EM PAREDE. AF_09/2023_PS</t>
  </si>
  <si>
    <t>11.1.12</t>
  </si>
  <si>
    <r>
      <t xml:space="preserve">TUBO DE PVC PARA REDE COLETORA DE ESGOTO DE PAREDE MACIÇA, DN 100 MM, JUNTA ELÁSTICA - FORNECIMENTO E ASSENTAMENTO. AF_01/2021 </t>
    </r>
    <r>
      <rPr>
        <b/>
        <sz val="10"/>
        <color rgb="FF000000"/>
        <rFont val="Times New Roman"/>
        <family val="1"/>
      </rPr>
      <t>(ENCAMINHAMENTO)</t>
    </r>
  </si>
  <si>
    <t>11.1.13</t>
  </si>
  <si>
    <r>
      <t xml:space="preserve">TUBO DE PVC PARA REDE COLETORA DE ESGOTO DE PAREDE MACIÇA, DN 150 MM, JUNTA ELÁSTICA - FORNECIMENTO E ASSENTAMENTO. AF_01/2021 </t>
    </r>
    <r>
      <rPr>
        <b/>
        <sz val="10"/>
        <color rgb="FF000000"/>
        <rFont val="Times New Roman"/>
        <family val="1"/>
      </rPr>
      <t>(ENCAMINHAMENTO)</t>
    </r>
  </si>
  <si>
    <t>11.1.14</t>
  </si>
  <si>
    <t>11.1.15</t>
  </si>
  <si>
    <t>FILTRO ANAERÓBIO RETANGULAR, EM ALVENARIA COM BLOCOS DE CONCRETO, DIMENSÕES INTERNAS: 3,00 X 3,50 X H=1,80 M, INCLUSO ESCAVAÇÃO. FORNECIMENTO E INSTALAÇÃO</t>
  </si>
  <si>
    <t>11.1.16</t>
  </si>
  <si>
    <t>CAIXA ENTERRADA DISTRIBUIDORA DE VAZÃO (SUMIDOUROS MÚLTIPLOS), RETANGULAR, EM ALVENARIA COM BLOCOS DE CONCRETO, DIMENSÕES INTERNAS: 0,60 X 0,60 X H=0,50 M. AF_12/2020</t>
  </si>
  <si>
    <t>11.1.17</t>
  </si>
  <si>
    <t>11.1.18</t>
  </si>
  <si>
    <t>REGULARIZAÇÃO E COMPACTAÇÃO DE SUBLEITO DE SOLO PREDOMINANTEMENTE ARGILOSO, PARA OBRAS DE CONSTRUÇÃO DE PAVIMENTOS. AF_09/2024</t>
  </si>
  <si>
    <t>11.1.19</t>
  </si>
  <si>
    <t>11.1.20</t>
  </si>
  <si>
    <t>LASTRO DE CONCRETO MAGRO, APLICADO EM PISOS, LAJES SOBRE SOLO OU RADIERS, ESPESSURA DE 3 CM. AF_01/2024</t>
  </si>
  <si>
    <t>11.1.21</t>
  </si>
  <si>
    <t>CAMADA SEPARADORA PARA EXECUÇÃO DE RADIER, PISO DE CONCRETO OU LAJE SOBRE SOLO, EM LONA PLÁSTICA. AF_09/2021</t>
  </si>
  <si>
    <t>11.1.22</t>
  </si>
  <si>
    <t>EXECUÇÃO DE RADIER, ESPESSURA DE 15 CM, FCK = 30 MPA, COM USO DE FORMAS EM MADEIRA SERRADA. AF_09/2021</t>
  </si>
  <si>
    <t>11.2</t>
  </si>
  <si>
    <t>11.2.1</t>
  </si>
  <si>
    <t>11.2.2</t>
  </si>
  <si>
    <t>11.2.3</t>
  </si>
  <si>
    <t>11.2.4</t>
  </si>
  <si>
    <t>11.2.5</t>
  </si>
  <si>
    <t>11.2.6</t>
  </si>
  <si>
    <t>11.2.7</t>
  </si>
  <si>
    <t>11.2.8</t>
  </si>
  <si>
    <t>TUBO PVC, SÉRIE R, ÁGUA PLUVIAL, DN 150 MM, FORNECIDO E INSTALADO EM CONDUTORES VERTICAIS DE ÁGUAS PLUVIAIS. AF_06/2022</t>
  </si>
  <si>
    <t>11.2.9</t>
  </si>
  <si>
    <t>TUBO PVC, SÉRIE R, ÁGUA PLUVIAL, DN 150 MM, FORNECIDO E INSTALADO EM RAMAL DE ENCAMINHAMENTO. AF_06/2022</t>
  </si>
  <si>
    <t>11.2.10</t>
  </si>
  <si>
    <t>11.2.11</t>
  </si>
  <si>
    <t>11.2.12</t>
  </si>
  <si>
    <t>TANQUE SÉPTICO RETANGULAR, EM ALVENARIA COM BLOCOS DE CONCRETO, DIMENSÕES INTERNAS: 1,5 X 3,0 X H=1,3 M, VOLUME ÚTIL: 6272 L (PARA 32 CONTRIBUINTES). AF_12/2020</t>
  </si>
  <si>
    <t>11.2.13</t>
  </si>
  <si>
    <t>11.2.14</t>
  </si>
  <si>
    <t>11.2.15</t>
  </si>
  <si>
    <t>11.2.16</t>
  </si>
  <si>
    <t>11.2.17</t>
  </si>
  <si>
    <t>11.2.18</t>
  </si>
  <si>
    <t>11.2.19</t>
  </si>
  <si>
    <t>11.2.20</t>
  </si>
  <si>
    <t>ACESSIBILIDADE GERAL</t>
  </si>
  <si>
    <t>12.1</t>
  </si>
  <si>
    <t>12.2</t>
  </si>
  <si>
    <t>12.3</t>
  </si>
  <si>
    <t>12.4</t>
  </si>
  <si>
    <t>12.5</t>
  </si>
  <si>
    <t>12.6</t>
  </si>
  <si>
    <t>12.7</t>
  </si>
  <si>
    <t>12.8</t>
  </si>
  <si>
    <t>REFORMA QUADRA</t>
  </si>
  <si>
    <t>13.1</t>
  </si>
  <si>
    <t>ATERRO MECANIZADO DE VALA COM MINICARREGADEIRA, COM SOLO ARGILO-ARENOSO. AF_08/2023</t>
  </si>
  <si>
    <t>13.2</t>
  </si>
  <si>
    <t>EXECUÇÃO DE PISO INDUSTRIAL DE CONCRETO ARMADO, FCK = 20 MPA, ESPESSURA DE 12,0 CM. AF_04/2022</t>
  </si>
  <si>
    <t>13.3</t>
  </si>
  <si>
    <t>CONTRAPISO EM ARGAMASSA TRAÇO 1:4 (CIMENTO E AREIA), PREPARO MECÂNICO COM BETONEIRA 400 L, APLICADO EM ÁREAS SECAS SOBRE LAJE, NÃO ADERIDO, ACABAMENTO NÃO REFORÇADO, ESPESSURA 5CM. AF_07/2021</t>
  </si>
  <si>
    <t>13.4</t>
  </si>
  <si>
    <t>13.5</t>
  </si>
  <si>
    <t>13.6</t>
  </si>
  <si>
    <t>13.7</t>
  </si>
  <si>
    <t>13.8</t>
  </si>
  <si>
    <t>13.9</t>
  </si>
  <si>
    <t>13.10</t>
  </si>
  <si>
    <t>13.11</t>
  </si>
  <si>
    <t>13.12</t>
  </si>
  <si>
    <t>13.13</t>
  </si>
  <si>
    <r>
      <t xml:space="preserve">TRAMA DE AÇO COMPOSTA POR TERÇAS PARA TELHADOS DE ATÉ 2 ÁGUAS PARA TELHA ONDULADA DE FIBROCIMENTO, METÁLICA, PLÁSTICA OU TERMOACÚSTICA, INCLUSO TRANSPORTE VERTICAL, EXCLUSIVE PINTURA. AF_10/2025_PS </t>
    </r>
    <r>
      <rPr>
        <b/>
        <sz val="10"/>
        <color theme="1"/>
        <rFont val="Times New Roman"/>
        <family val="1"/>
      </rPr>
      <t>(COMPLEMENTO DA COBERTURA DO GINÁSIO)</t>
    </r>
  </si>
  <si>
    <t>13.14</t>
  </si>
  <si>
    <t>13.15</t>
  </si>
  <si>
    <t>13.16</t>
  </si>
  <si>
    <t>13.17</t>
  </si>
  <si>
    <t>Aquisição e instalação de placar eletrônico poliesportivo, destinado à utilização em ginásios e pavilhão esportivo, com dimensões aproximadas de, no mínimo 200 cm x 100 cm x 7 cm, dotado de painel de dígitos em LED de alta luminosidade, com visibilidade mínima de até 100 metros, adequado para ambientes internos.</t>
  </si>
  <si>
    <t xml:space="preserve">UN  </t>
  </si>
  <si>
    <t>13.18</t>
  </si>
  <si>
    <r>
      <t xml:space="preserve">PINTURA DE PISO COM TINTA ACRÍLICA, APLICAÇÃO MANUAL, 2 DEMÃOS, INCLUSO FUNDO PREPARADOR. AF_05/2021 </t>
    </r>
    <r>
      <rPr>
        <b/>
        <sz val="10"/>
        <color theme="1"/>
        <rFont val="Times New Roman"/>
        <family val="1"/>
      </rPr>
      <t>(ARQUIBANCADA - DUAS CORES)</t>
    </r>
  </si>
  <si>
    <t>13.19</t>
  </si>
  <si>
    <t>13.20</t>
  </si>
  <si>
    <t>13.21</t>
  </si>
  <si>
    <t>13.22</t>
  </si>
  <si>
    <t>13.23</t>
  </si>
  <si>
    <t>13.24</t>
  </si>
  <si>
    <t>ÁREA EXTERNA E PAISAGISMO</t>
  </si>
  <si>
    <t>14.1</t>
  </si>
  <si>
    <r>
      <t>ESCAVAÇÃO HORIZONTAL, INCLUINDO CARGA, DESCARGA E TRANSPORTE EM SOLO DE 1A CATEGORIA COM TRATOR DE ESTEIRAS (100HP/LÂMINA: 2,19M3) E CAMINHÃO BASCULANTE DE 10M3, DMT ATÉ 200M. AF_07/2020</t>
    </r>
    <r>
      <rPr>
        <b/>
        <sz val="10"/>
        <rFont val="Times New Roman"/>
        <family val="1"/>
      </rPr>
      <t xml:space="preserve"> (REGULARIZAÇÃO DO PÁTIO DE ACESSO)</t>
    </r>
  </si>
  <si>
    <t>14.2</t>
  </si>
  <si>
    <r>
      <t xml:space="preserve">REGULARIZAÇÃO DE SUPERFÍCIES COM MOTONIVELADORA. AF_09/2024 </t>
    </r>
    <r>
      <rPr>
        <b/>
        <sz val="10"/>
        <rFont val="Times New Roman"/>
        <family val="1"/>
      </rPr>
      <t>(REGULARIZAÇÃO DO PÁTIO DE ACESSO)</t>
    </r>
  </si>
  <si>
    <t>14.3</t>
  </si>
  <si>
    <t>14.4</t>
  </si>
  <si>
    <t>EXECUÇÃO DE PAVIMENTO EM PISO INTERTRAVADO, COM BLOCO RETANGULAR COR NATURAL DE 20 X 10 CM, ESPESSURA 8 CM. AF_10/2022</t>
  </si>
  <si>
    <t>14.5</t>
  </si>
  <si>
    <t>ASSENTAMENTO DE GUIA (MEIO-FIO) EM TRECHO RETO, CONFECCIONADA EM CONCRETO PRÉ-FABRICADO, DIMENSÕES 100X15X13X30 CM (COMPRIMENTO X BASE INFERIOR X BASE SUPERIOR X ALTURA). AF_01/2024</t>
  </si>
  <si>
    <t>14.6</t>
  </si>
  <si>
    <t>ESPALHAMENTO DE TERRA VEGETAL PARA O PLANTIO. AF_07/2024</t>
  </si>
  <si>
    <t>14.7</t>
  </si>
  <si>
    <t>14.8</t>
  </si>
  <si>
    <t>PLANTIO DE ARBUSTO OU CERCA VIVA. AF_07/2024</t>
  </si>
  <si>
    <t>14.9</t>
  </si>
  <si>
    <t>PLANTIO DE ÁRVORE ORNAMENTAL COM ALTURA DE MUDA MAIOR QUE 2,00 M E MENOR OU IGUAL A 4,00 M . AF_07/2024</t>
  </si>
  <si>
    <t>14.10</t>
  </si>
  <si>
    <r>
      <t xml:space="preserve">ARGAMASSA TRAÇO 1:4 (EM VOLUME DE CIMENTO E AREIA MÉDIA ÚMIDA) PARA CONTRAPISO, PREPARO MANUAL. AF_08/2019 </t>
    </r>
    <r>
      <rPr>
        <b/>
        <sz val="10"/>
        <color theme="1"/>
        <rFont val="Times New Roman"/>
        <family val="1"/>
      </rPr>
      <t>(ESCADA DE ACESSO, VIGAS EXISTENTES E DELIMITAÇÕES)</t>
    </r>
  </si>
  <si>
    <t>LIMPEZA FINAL DE OBRA</t>
  </si>
  <si>
    <t>15.1</t>
  </si>
  <si>
    <t>LIMPEZA DE SUPERFÍCIE PISO OU PAREDE COM JATO DE ALTA PRESSÃO. AF_10/2025</t>
  </si>
  <si>
    <t>VALOR TOTAL</t>
  </si>
  <si>
    <t xml:space="preserve">NOME E Nº CREA/CAU DO RESPONSÁVEL TÉCNICO: 
                                                                                                                                                                                                                                                                                                                    </t>
  </si>
  <si>
    <t>ESTRUTURAL FRENTE</t>
  </si>
  <si>
    <t>SAPATAS</t>
  </si>
  <si>
    <t>IMPERMEABILIZAÇÃO DE SUPERFÍCIE COM EMULSÃO ASFÁLTICA, 2 DEMÃOS. AF_09/2023 (pescoços + vigas baldrames)</t>
  </si>
  <si>
    <t>ARMAÇÃO DE SAPATA ISOLADA, VIGA BALDRAME E SAPATA CORRIDA UTILIZANDO AÇO CA-60 DE 5 MM - MONTAGEM. AF_01/2024</t>
  </si>
  <si>
    <t>ARMAÇÃO DE SAPATA ISOLADA, VIGA BALDRAME E SAPATA CORRIDA UTILIZANDO AÇO CA-50 DE 6,3 MM - MONTAGEM. AF_01/2024</t>
  </si>
  <si>
    <t>ARMAÇÃO DE SAPATA ISOLADA, VIGA BALDRAME E SAPATA CORRIDA UTILIZANDO AÇO CA-50 DE 10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</si>
  <si>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</si>
  <si>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</si>
  <si>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BLOCO, SAPATA ISOLADA E SAPATA CORRIDA UTILIZANDO AÇO CA-50 DE 20 MM - MONTAGEM. AF_01/2024</t>
  </si>
  <si>
    <t>VIGAS BALDRAMES</t>
  </si>
  <si>
    <t>LAJES TÉRREO</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</si>
  <si>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</si>
  <si>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</si>
  <si>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</si>
  <si>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</si>
  <si>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</si>
  <si>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ESCORAMENTO DE FÔRMAS DE LAJE EM MADEIRA NÃO APARELHADA, PÉ-DIREITO SIMPLES, INCLUSO TRAVAMENTO, 4 UTILIZAÇÕES. AF_09/2020</t>
  </si>
  <si>
    <t>MONTAGEM E DESMONTAGEM DE FÔRMA DE LAJE MACIÇA, PÉ-DIREITO SIMPLES, EM CHAPA DE MADEIRA COMPENSADA RESINADA, 2 UTILIZAÇÕES. AF_09/2020</t>
  </si>
  <si>
    <t>CONCRETAGEM DE LAJE, FCK 30 MPA - LANÇAMENTO, ADENSAMENTO E ACABAMENTO. AF_09/2021</t>
  </si>
  <si>
    <t>PILARES TÉRREO</t>
  </si>
  <si>
    <t>ARMAÇÃO DE PILAR OU VIGA DE ESTRUTURA CONVENCIONAL DE CONCRETO ARMADO UTILIZANDO AÇO CA-50 DE 6,3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</si>
  <si>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</si>
  <si>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</si>
  <si>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</si>
  <si>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MONTAGEM E DESMONTAGEM DE FÔRMA DE PILARES CIRCULARES, PÉ-DIREITO SIMPLES, EM MADEIRA, 2 UTILIZAÇÕES. AF_05/2024</t>
  </si>
  <si>
    <t>VIGAS TÉRREO</t>
  </si>
  <si>
    <t>MONTAGEM E DESMONTAGEM DE FÔRMA DE VIGA, ESCORAMENTO METÁLICO, PÉ-DIREITO SIMPLES, EM CHAPA DE MADEIRA RESINADA, 2 UTILIZAÇÕES. AF_09/2020</t>
  </si>
  <si>
    <t>CONCRETAGEM DE VIGAS E LAJES, FCK=30 MPA, PARA LAJES MACIÇAS OU NERVURADAS COM USO DE BOMBA - LANÇAMENTO, ADENSAMENTO E ACABAMENTO. AF_02/2022_PS</t>
  </si>
  <si>
    <t xml:space="preserve">ESCADAS </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</si>
  <si>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</si>
  <si>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</si>
  <si>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</si>
  <si>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</si>
  <si>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FABRICAÇÃO DE FÔRMA PARA ESCADAS, COM 2 LANCES EM "U" E LAJE CASCATA, EM CHAPA DE MADEIRA COMPENSADA RESINADA, E= 17 MM. AF_11/2020</t>
  </si>
  <si>
    <t>CONCRETAGEM DE ESCADAS, FCK=30 MPA, COM USO DE BOMBA - LANÇAMENTO, ADENSAMENTO E ACABAMENTO. AF_02/2022_PS</t>
  </si>
  <si>
    <t>LAJES 1° PAVIMENTO</t>
  </si>
  <si>
    <t>PILARES 1° PAVIMENTO</t>
  </si>
  <si>
    <t>VIGAS 1° PAVIMENTO</t>
  </si>
  <si>
    <t>LAJES 1° FECHAMENTO/COBERTURA</t>
  </si>
  <si>
    <t>PILARES FECHAMENTO/COBERTURA</t>
  </si>
  <si>
    <t>VIGAS FECHAMENTO/COBERTURA</t>
  </si>
  <si>
    <t>ESTRUTURAL FUNDOS</t>
  </si>
  <si>
    <t>VIGAS</t>
  </si>
  <si>
    <t>ESCADA TÉRREO</t>
  </si>
  <si>
    <t>ARMAÇÃO DE ESCADA, DE UMA ESTRUTURA CONVENCIONAL DE CONCRETO ARMADO UTILIZANDO AÇO CA-50 DE 12,5 MM - MONTAGEM. AF_11/202012,5</t>
  </si>
  <si>
    <t>PILARES 1º PAVIMENTO</t>
  </si>
  <si>
    <t>VIGAS 1º PAVIMENTO</t>
  </si>
  <si>
    <t>16.1</t>
  </si>
  <si>
    <t>16.1.1</t>
  </si>
  <si>
    <t>16.1.2</t>
  </si>
  <si>
    <t>16.1.3</t>
  </si>
  <si>
    <t>16.1.4</t>
  </si>
  <si>
    <t>16.1.5</t>
  </si>
  <si>
    <t>16.1.6</t>
  </si>
  <si>
    <t>16.1.7</t>
  </si>
  <si>
    <t>16.1.8</t>
  </si>
  <si>
    <t>16.1.9</t>
  </si>
  <si>
    <t>16.1.10</t>
  </si>
  <si>
    <t>16.1.11</t>
  </si>
  <si>
    <t>16.2</t>
  </si>
  <si>
    <t>16.2.1</t>
  </si>
  <si>
    <t>16.2.2</t>
  </si>
  <si>
    <t>16.2.3</t>
  </si>
  <si>
    <t>16.2.4</t>
  </si>
  <si>
    <t>16.2.5</t>
  </si>
  <si>
    <t>16.2.6</t>
  </si>
  <si>
    <t>16.2.7</t>
  </si>
  <si>
    <t>16.2.8</t>
  </si>
  <si>
    <t>16.3</t>
  </si>
  <si>
    <t>16.3.1</t>
  </si>
  <si>
    <t>16.3.2</t>
  </si>
  <si>
    <t>16.3.3</t>
  </si>
  <si>
    <t>16.3.4</t>
  </si>
  <si>
    <t>16.3.5</t>
  </si>
  <si>
    <t>16.3.6</t>
  </si>
  <si>
    <t>16.3.7</t>
  </si>
  <si>
    <t>16.3.8</t>
  </si>
  <si>
    <t>16.4</t>
  </si>
  <si>
    <t>16.4.1</t>
  </si>
  <si>
    <t>16.4.2</t>
  </si>
  <si>
    <t>16.4.3</t>
  </si>
  <si>
    <t>16.4.4</t>
  </si>
  <si>
    <t>16.4.5</t>
  </si>
  <si>
    <t>16.4.6</t>
  </si>
  <si>
    <t>16.4.7</t>
  </si>
  <si>
    <t>16.4.8</t>
  </si>
  <si>
    <t>16.4.9</t>
  </si>
  <si>
    <t>16.4.10</t>
  </si>
  <si>
    <t>16.5</t>
  </si>
  <si>
    <t>16.5.1</t>
  </si>
  <si>
    <t>16.5.2</t>
  </si>
  <si>
    <t>16.5.3</t>
  </si>
  <si>
    <t>16.5.4</t>
  </si>
  <si>
    <t>16.5.5</t>
  </si>
  <si>
    <t>16.5.6</t>
  </si>
  <si>
    <t>16.5.7</t>
  </si>
  <si>
    <t>16.5.8</t>
  </si>
  <si>
    <t>16.5.9</t>
  </si>
  <si>
    <t>16.6</t>
  </si>
  <si>
    <t>16.6.1</t>
  </si>
  <si>
    <t>16.6.2</t>
  </si>
  <si>
    <t>16.6.3</t>
  </si>
  <si>
    <t>16.6.4</t>
  </si>
  <si>
    <t>16.6.5</t>
  </si>
  <si>
    <t>16.6.6</t>
  </si>
  <si>
    <t>16.7</t>
  </si>
  <si>
    <t>16.7.1</t>
  </si>
  <si>
    <t>16.7.2</t>
  </si>
  <si>
    <t>16.7.3</t>
  </si>
  <si>
    <t>16.7.4</t>
  </si>
  <si>
    <t>16.7.5</t>
  </si>
  <si>
    <t>16.7.6</t>
  </si>
  <si>
    <t>16.7.7</t>
  </si>
  <si>
    <t>16.7.8</t>
  </si>
  <si>
    <t>16.8</t>
  </si>
  <si>
    <t>16.8.1</t>
  </si>
  <si>
    <t>16.8.2</t>
  </si>
  <si>
    <t>16.8.3</t>
  </si>
  <si>
    <t>16.8.4</t>
  </si>
  <si>
    <t>16.8.5</t>
  </si>
  <si>
    <t>16.8.6</t>
  </si>
  <si>
    <t>16.8.7</t>
  </si>
  <si>
    <t>16.8.8</t>
  </si>
  <si>
    <t>16.8.9</t>
  </si>
  <si>
    <t>16.9</t>
  </si>
  <si>
    <t>16.9.1</t>
  </si>
  <si>
    <t>16.9.2</t>
  </si>
  <si>
    <t>16.9.3</t>
  </si>
  <si>
    <t>16.9.4</t>
  </si>
  <si>
    <t>16.9.5</t>
  </si>
  <si>
    <t>16.9.6</t>
  </si>
  <si>
    <t>16.9.7</t>
  </si>
  <si>
    <t>16.9.8</t>
  </si>
  <si>
    <t>16.9.9</t>
  </si>
  <si>
    <t>16.10</t>
  </si>
  <si>
    <t>16.10.1</t>
  </si>
  <si>
    <t>16.10.2</t>
  </si>
  <si>
    <t>16.10.3</t>
  </si>
  <si>
    <t>16.10.4</t>
  </si>
  <si>
    <t>16.10.5</t>
  </si>
  <si>
    <t>16.10.6</t>
  </si>
  <si>
    <t>16.10.7</t>
  </si>
  <si>
    <t>16.10.8</t>
  </si>
  <si>
    <t>16.11</t>
  </si>
  <si>
    <t>16.11.1</t>
  </si>
  <si>
    <t>16.11.2</t>
  </si>
  <si>
    <t>16.11.3</t>
  </si>
  <si>
    <t>16.11.4</t>
  </si>
  <si>
    <t>16.11.5</t>
  </si>
  <si>
    <t>16.11.6</t>
  </si>
  <si>
    <t>16.11.7</t>
  </si>
  <si>
    <t>16.11.8</t>
  </si>
  <si>
    <t>16.11.9</t>
  </si>
  <si>
    <t>16.12.1</t>
  </si>
  <si>
    <t>16.12</t>
  </si>
  <si>
    <t>16.12.2</t>
  </si>
  <si>
    <t>16.12.3</t>
  </si>
  <si>
    <t>16.12.4</t>
  </si>
  <si>
    <t>16.12.5</t>
  </si>
  <si>
    <t>16.12.6</t>
  </si>
  <si>
    <t>16.12.7</t>
  </si>
  <si>
    <t>16.12.8</t>
  </si>
  <si>
    <t>16.12.9</t>
  </si>
  <si>
    <t>17.1</t>
  </si>
  <si>
    <t>17.1.1</t>
  </si>
  <si>
    <t>17.1.2</t>
  </si>
  <si>
    <t>17.1.3</t>
  </si>
  <si>
    <t>17.1.4</t>
  </si>
  <si>
    <t>17.1.5</t>
  </si>
  <si>
    <t>17.1.6</t>
  </si>
  <si>
    <t>17.1.7</t>
  </si>
  <si>
    <t>17.1.8</t>
  </si>
  <si>
    <t>17.1.9</t>
  </si>
  <si>
    <t>17.1.10</t>
  </si>
  <si>
    <t>17.1.11</t>
  </si>
  <si>
    <t>17.2</t>
  </si>
  <si>
    <t>17.2.1</t>
  </si>
  <si>
    <t>17.2.2</t>
  </si>
  <si>
    <t>17.2.3</t>
  </si>
  <si>
    <t>17.2.4</t>
  </si>
  <si>
    <t>17.2.5</t>
  </si>
  <si>
    <t>17.2.6</t>
  </si>
  <si>
    <t>17.2.7</t>
  </si>
  <si>
    <t>17.2.8</t>
  </si>
  <si>
    <t>17.3</t>
  </si>
  <si>
    <t>17.3.1</t>
  </si>
  <si>
    <t>17.3.2</t>
  </si>
  <si>
    <t>17.3.3</t>
  </si>
  <si>
    <t>17.3.4</t>
  </si>
  <si>
    <t>17.3.5</t>
  </si>
  <si>
    <t>17.3.6</t>
  </si>
  <si>
    <t>17.3.7</t>
  </si>
  <si>
    <t>17.3.8</t>
  </si>
  <si>
    <t>17.3.9</t>
  </si>
  <si>
    <t>17.4</t>
  </si>
  <si>
    <t>17.4.1</t>
  </si>
  <si>
    <t>17.4.2</t>
  </si>
  <si>
    <t>17.4.3</t>
  </si>
  <si>
    <t>17.4.4</t>
  </si>
  <si>
    <t>17.4.5</t>
  </si>
  <si>
    <t>17.4.6</t>
  </si>
  <si>
    <t>17.4.7</t>
  </si>
  <si>
    <t>17.4.8</t>
  </si>
  <si>
    <t>17.4.9</t>
  </si>
  <si>
    <t>17.5</t>
  </si>
  <si>
    <t>17.5.1</t>
  </si>
  <si>
    <t>17.5.2</t>
  </si>
  <si>
    <t>17.5.3</t>
  </si>
  <si>
    <t>17.5.4</t>
  </si>
  <si>
    <t>17.5.5</t>
  </si>
  <si>
    <t>17.5.6</t>
  </si>
  <si>
    <t>17.5.7</t>
  </si>
  <si>
    <t>17.5.8</t>
  </si>
  <si>
    <t>17.6</t>
  </si>
  <si>
    <t>17.6.1</t>
  </si>
  <si>
    <t>17.6.2</t>
  </si>
  <si>
    <t>17.6.3</t>
  </si>
  <si>
    <t>17.6.4</t>
  </si>
  <si>
    <t>17.6.5</t>
  </si>
  <si>
    <t>17.6.6</t>
  </si>
  <si>
    <t>17.6.7</t>
  </si>
  <si>
    <t>17.7</t>
  </si>
  <si>
    <t>17.7.1</t>
  </si>
  <si>
    <t>17.7.2</t>
  </si>
  <si>
    <t>17.7.3</t>
  </si>
  <si>
    <t>17.7.4</t>
  </si>
  <si>
    <t>17.7.5</t>
  </si>
  <si>
    <t>17.7.6</t>
  </si>
  <si>
    <t>17.7.7</t>
  </si>
  <si>
    <t>17.7.8</t>
  </si>
  <si>
    <t>17.7.9</t>
  </si>
  <si>
    <t>17.8</t>
  </si>
  <si>
    <t>17.8.1</t>
  </si>
  <si>
    <t>17.8.2</t>
  </si>
  <si>
    <t>17.8.3</t>
  </si>
  <si>
    <t>17.8.4</t>
  </si>
  <si>
    <t>17.8.5</t>
  </si>
  <si>
    <t>17.8.6</t>
  </si>
  <si>
    <t>17.8.7</t>
  </si>
  <si>
    <t>17.8.8</t>
  </si>
  <si>
    <t>17.8.9</t>
  </si>
  <si>
    <t>17.9.1</t>
  </si>
  <si>
    <t>17.9</t>
  </si>
  <si>
    <t>17.9.2</t>
  </si>
  <si>
    <t>17.9.3</t>
  </si>
  <si>
    <t>17.9.4</t>
  </si>
  <si>
    <t>17.9.5</t>
  </si>
  <si>
    <t>17.9.6</t>
  </si>
  <si>
    <t>17.9.7</t>
  </si>
  <si>
    <t>17.9.8</t>
  </si>
  <si>
    <t>17.9.9</t>
  </si>
  <si>
    <t>17.10</t>
  </si>
  <si>
    <t>17.10.1</t>
  </si>
  <si>
    <t>17.10.2</t>
  </si>
  <si>
    <t>17.10.3</t>
  </si>
  <si>
    <t>17.10.4</t>
  </si>
  <si>
    <t>17.10.5</t>
  </si>
  <si>
    <t>17.10.6</t>
  </si>
  <si>
    <t>17.10.7</t>
  </si>
  <si>
    <t>17.10.8</t>
  </si>
  <si>
    <t>17.10.9</t>
  </si>
  <si>
    <t>18.1</t>
  </si>
  <si>
    <t>18.1.1</t>
  </si>
  <si>
    <t>18.1.2</t>
  </si>
  <si>
    <t>18.1.3</t>
  </si>
  <si>
    <t>18.1.4</t>
  </si>
  <si>
    <t>18.1.5</t>
  </si>
  <si>
    <t>18.1.6</t>
  </si>
  <si>
    <t>18.1.7</t>
  </si>
  <si>
    <t>18.1.8</t>
  </si>
  <si>
    <t>18.2</t>
  </si>
  <si>
    <t>18.2.1</t>
  </si>
  <si>
    <t>18.2.2</t>
  </si>
  <si>
    <t>18.2.3</t>
  </si>
  <si>
    <t>18.2.4</t>
  </si>
  <si>
    <t>18.2.5</t>
  </si>
  <si>
    <t>18.2.6</t>
  </si>
  <si>
    <t>18.2.7</t>
  </si>
  <si>
    <t>18.2.8</t>
  </si>
  <si>
    <t>18.2.9</t>
  </si>
  <si>
    <t>18.2.10</t>
  </si>
  <si>
    <t>18.2.11</t>
  </si>
  <si>
    <t>18.2.12</t>
  </si>
  <si>
    <t>18.2.13</t>
  </si>
  <si>
    <t>18.2.14</t>
  </si>
  <si>
    <t>18.3</t>
  </si>
  <si>
    <t>18.3.1</t>
  </si>
  <si>
    <t>18.3.2</t>
  </si>
  <si>
    <t>18.3.3</t>
  </si>
  <si>
    <t>18.3.4</t>
  </si>
  <si>
    <t>18.3.5</t>
  </si>
  <si>
    <t>18.3.6</t>
  </si>
  <si>
    <t>18.3.7</t>
  </si>
  <si>
    <t>18.3.8</t>
  </si>
  <si>
    <t>18.3.9</t>
  </si>
  <si>
    <t>18.3.10</t>
  </si>
  <si>
    <t>18.3.11</t>
  </si>
  <si>
    <t>18.3.12</t>
  </si>
  <si>
    <t>18.3.13</t>
  </si>
  <si>
    <t>18.4</t>
  </si>
  <si>
    <t>18.4.1</t>
  </si>
  <si>
    <t>18.4.2</t>
  </si>
  <si>
    <t>18.4.3</t>
  </si>
  <si>
    <t>18.4.4</t>
  </si>
  <si>
    <t>18.4.5</t>
  </si>
  <si>
    <t>18.4.6</t>
  </si>
  <si>
    <t>18.4.7</t>
  </si>
  <si>
    <t>18.4.8</t>
  </si>
  <si>
    <t>18.4.9</t>
  </si>
  <si>
    <t>18.4.10</t>
  </si>
  <si>
    <t>18.5</t>
  </si>
  <si>
    <t>18.5.1</t>
  </si>
  <si>
    <t>18.5.2</t>
  </si>
  <si>
    <t>18.5.3</t>
  </si>
  <si>
    <t>18.5.4</t>
  </si>
  <si>
    <t>18.5.5</t>
  </si>
  <si>
    <t>18.5.6</t>
  </si>
  <si>
    <t>18.5.7</t>
  </si>
  <si>
    <t>18.5.8</t>
  </si>
  <si>
    <t>18.6</t>
  </si>
  <si>
    <t>18.6.1</t>
  </si>
  <si>
    <t>18.6.2</t>
  </si>
  <si>
    <t>18.6.3</t>
  </si>
  <si>
    <t>18.6.4</t>
  </si>
  <si>
    <t>18.6.5</t>
  </si>
  <si>
    <t>18.6.6</t>
  </si>
  <si>
    <t>18.7</t>
  </si>
  <si>
    <t>18.7.1</t>
  </si>
  <si>
    <t>18.7.2</t>
  </si>
  <si>
    <t>18.7.3</t>
  </si>
  <si>
    <t>18.7.4</t>
  </si>
  <si>
    <t>18.7.5</t>
  </si>
  <si>
    <t>18.7.6</t>
  </si>
  <si>
    <t>18.7.7</t>
  </si>
  <si>
    <t>18.7.8</t>
  </si>
  <si>
    <t>18.7.9</t>
  </si>
  <si>
    <t>18.7.10</t>
  </si>
  <si>
    <t>18.7.11</t>
  </si>
  <si>
    <t>18.7.12</t>
  </si>
  <si>
    <t>18.7.13</t>
  </si>
  <si>
    <t>18.7.14</t>
  </si>
  <si>
    <t>18.7.15</t>
  </si>
  <si>
    <t>18.7.16</t>
  </si>
  <si>
    <t>19.1</t>
  </si>
  <si>
    <t>19.2</t>
  </si>
  <si>
    <t>19.3</t>
  </si>
  <si>
    <t>19.4</t>
  </si>
  <si>
    <t>19.5</t>
  </si>
  <si>
    <t>19.6</t>
  </si>
  <si>
    <t>19.7</t>
  </si>
  <si>
    <t>19.8</t>
  </si>
  <si>
    <t>19.9</t>
  </si>
  <si>
    <t>19.10</t>
  </si>
  <si>
    <t>19.11</t>
  </si>
  <si>
    <t>19.12</t>
  </si>
  <si>
    <t>19.13</t>
  </si>
  <si>
    <t>LUMINÁRIA DE EMERGÊNCIA AUTÔNOMA TIPO 2 FARÓIS LED, 2200 LÚMENS - FORNECIMENTO E INSTALAÇÃO</t>
  </si>
  <si>
    <t>PLACA FOTOLUMINESCENTE INDICATIVA DE SAÍDA COM BONECO E SETA 50X15CM - FORNECIMENTO E INSTALAÇÃO</t>
  </si>
  <si>
    <t>PLACA LUMINOSA AUTÔNOMA INDICATIVA DE SAÍDA 24X18CM - FORNECIMENTO E INSTALAÇÃO</t>
  </si>
  <si>
    <t>PLACA LUMINOSA AUTÔNOMA INDICATIVA DE SAÍDA 50X32CM - FORNECIMENTO E INSTALAÇÃO</t>
  </si>
  <si>
    <t>PLACA FOTOLUMINESCENTE INDICATIVA DE LOTAÇÃO MÁXIMA 40X20CM - FORNECIMENTO E INSTALAÇÃO</t>
  </si>
  <si>
    <t>PLACA FOTOLUMINESCENTE INDICATIVA DE ACESSO RESTRITO 40X20CM - FORNECIMENTO E INSTALAÇÃO</t>
  </si>
  <si>
    <t>EXTINTOR DE INCÊNDIO PORTÁTIL COM CARGA DE PQS DE 4 KG, CLASSE BC, COM PLACA COM SETA INDICATIVA EXTINTOR - 13X20CM, COM PLACA CIRCULAR PROIBIDO COLOCAR MATERIAIS Ø20CM, COM SUPORTE DE PAREDE PARA EXTINTOR FIXADO COM 2 BUCHAS S8 E 2 PARAFUSOS Ø4,8X50MM - FORNECIMENTO E INSTALAÇÃO.</t>
  </si>
  <si>
    <t>ABRIGO PARA GÁS 130X80X133CM (LXCXA) EM ALVENARIA PARA 2 BOTIJÃO P13, REBOCO INTERNO E EXTERNO, PINTURA INTERNA E EXTERNA, COM PORTA VENEZINA 65X105CM COM VENTILAÇÃO PERMANENTE, COM PLACA DE SINALIZAÇÃO DE CENTRAL DE GÁS - FORNECIMENTO E INSTALAÇÃO</t>
  </si>
  <si>
    <t>REGISTRO OU REGULADOR DE GÁS DE COZINHA COM MANGUEIRA, VÁLVULA E CONEXÕES - FORNECIMENTO E INSTALAÇÃO. AF_08/2021</t>
  </si>
  <si>
    <t>INSTALAÇÃO DE VENEZIANA INTERNA E EXTERNA PARA VENTILAÇÃO PERMANENTE Ø15CM, INCLUINDO DEMOLIÇÃO DE ALVENARIA, LIMPEZA DE ENTULHO E ACABAMENTO - FORNECIMENTO E INSTALAÇÃO</t>
  </si>
  <si>
    <t>REGISTRO OU REGULADOR DE GÁS DE COZINHA - FORNECIMENTO E INSTALAÇÃO. AF_08/2021</t>
  </si>
  <si>
    <t>TUBO DE AÇO PRETO SEM COSTURA, CLASSE MÉDIA, CONEXÃO SOLDADA, DN 20 (3/4"), INSTALADO EM RAMAIS E SUB-RAMAIS DE GÁS - FORNECIMENTO E INSTALAÇÃO. AF_01/2026</t>
  </si>
  <si>
    <t>REGULARIZAÇÃO DE HABITE-SE NO SISTEMA ESCI DOS BOMBEIROS, COM FORNECIMENTO DE LAUDOS E DEMAIS DOCUMENTOS EXIGIDOS PELO CBMSC, COM ART DE EXECUÇÃO DE TODOS OS SISTEMAS</t>
  </si>
  <si>
    <t>Q32.1</t>
  </si>
  <si>
    <t>Q26.1</t>
  </si>
  <si>
    <t>Q27.1</t>
  </si>
  <si>
    <t>Q28.1</t>
  </si>
  <si>
    <t>Q29.1</t>
  </si>
  <si>
    <t>Q30.1</t>
  </si>
  <si>
    <t>Q31.1</t>
  </si>
  <si>
    <t>Q33.1</t>
  </si>
  <si>
    <t>Q34.1</t>
  </si>
  <si>
    <t>Q35.1</t>
  </si>
  <si>
    <t>Q36.1</t>
  </si>
  <si>
    <t>ELETRODUTO FLEXÍVEL CORRUGADO, PEAD, DN 63 (2"),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</si>
  <si>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</si>
  <si>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25 MM², ANTI-CHAMA 0,6/1,0 KV, PARA REDE ENTERRADA DE DISTRIBUIÇÃO DE ENERGIA ELÉTRICA - FORNECIMENTO E INSTALAÇÃO. AF_12/2021</t>
  </si>
  <si>
    <t>REATERRO MANUAL DE VALAS, COM COMPACTADOR DE SOLOS DE PERCUSSÃO. AF_08/2023</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</si>
  <si>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</si>
  <si>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</si>
  <si>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REMOÇÃO DE PADRÃO ELÉTRICO ANTIGO EXISTENTE EM POSTE E MURETA, COM RETIRADA DO POSTE POR CAMINHÃO MUNCK E TRANSPORTE ATÉ LOCAL DESIGNADO PELA PREFEITURA; COM QUEBRA PARCIAL DA MURETA ATÉ O NOVO PADRÃO; COM ACABAMENTO EM ALVENARIA E PINTURA; COM LIMPEZA FINAL</t>
  </si>
  <si>
    <t>Q00</t>
  </si>
  <si>
    <t>Q01.1</t>
  </si>
  <si>
    <t>Q02.1</t>
  </si>
  <si>
    <t>Q03.1</t>
  </si>
  <si>
    <t>Q04.1</t>
  </si>
  <si>
    <t>DISJUNTOR TRIPOLAR TIPO DIN, CORRENTE NOMINAL DE 100A - FORNECIMENTO E INSTALAÇÃO. AF_07/2025</t>
  </si>
  <si>
    <t>DISJUNTOR TRIPOLAR TIPO DIN, CORRENTE NOMINAL DE 70A - FORNECIMENTO E INSTALAÇÃO. AF_07/2025</t>
  </si>
  <si>
    <t>QUADRO DE DISTRIBUIÇÃO DE ENERGIA EM CHAPA DE AÇO GALVANIZADO, DE EMBUTIR, COM BARRAMENTO TRIFÁSICO, PARA 48 DISJUNTORES DIN 100A - FORNECIMENTO E INSTALAÇÃO</t>
  </si>
  <si>
    <t>QUADRO DE DISTRIBUIÇÃO DE ENERGIA EM CHAPA DE AÇO GALVANIZADO, DE EMBUTIR, COM BARRAMENTO TRIFÁSICO, PARA 24 DISJUNTORES DIN 100A - FORNECIMENTO E INSTALAÇÃO. AF_07/2025</t>
  </si>
  <si>
    <t>DISPOSITIVO DR, 4 POLOS, SENSIBILIDADE DE 30 MA, CORRENTE DE 100 A, TIPO AC - FORNECIMENTO E INSTALAÇÃO</t>
  </si>
  <si>
    <t>DISPOSITIVO DR, 4 POLOS, SENSIBILIDADE DE 30 MA, CORRENTE DE 80 A, TIPO AC - FORNECIMENTO E INSTALAÇÃO</t>
  </si>
  <si>
    <t>DISPOSITIVO DR, 4 POLOS, SENSIBILIDADE DE 30 MA, CORRENTE DE 63 A, TIPO AC - FORNECIMENTO E INSTALAÇÃO</t>
  </si>
  <si>
    <t>DISJUNTOR TRIPOLAR TIPO DIN, CORRENTE NOMINAL DE 50A - FORNECIMENTO E INSTALAÇÃO. AF_07/2025</t>
  </si>
  <si>
    <t>DISJUNTOR TRIPOLAR TIPO DIN, CORRENTE NOMINAL DE 25A - FORNECIMENTO E INSTALAÇÃO. AF_07/2025</t>
  </si>
  <si>
    <t>DISJUNTOR MONOPOLAR TIPO DIN, CORRENTE NOMINAL DE 32A - FORNECIMENTO E INSTALAÇÃO. AF_07/2025</t>
  </si>
  <si>
    <t>DISJUNTOR MONOPOLAR TIPO DIN, CORRENTE NOMINAL DE 25A - FORNECIMENTO E INSTALAÇÃO. AF_07/2025</t>
  </si>
  <si>
    <t>DISJUNTOR MONOPOLAR TIPO DIN, CORRENTE NOMINAL DE 20A - FORNECIMENTO E INSTALAÇÃO. AF_07/2025</t>
  </si>
  <si>
    <t>DISJUNTOR MONOPOLAR TIPO DIN, CORRENTE NOMINAL DE 16A - FORNECIMENTO E INSTALAÇÃO. AF_07/2025</t>
  </si>
  <si>
    <t>DISJUNTOR MONOPOLAR TIPO DIN, CORRENTE NOMINAL DE 10A - FORNECIMENTO E INSTALAÇÃO. AF_07/2025</t>
  </si>
  <si>
    <t>CAIXA RETANGULAR 4" X 2", PVC, INSTALADA EM PAREDE - FORNECIMENTO E INSTALAÇÃO. AF_03/2023</t>
  </si>
  <si>
    <t>ELETROCALHA ESTRUTURAL 100X50MM CHAPA #20 PRÉ ZINCADA A QUENTE, COM ACESSÓRIOS DE FIXAÇÃO, DERIVAÇÕES, EMENDAS - FORNECIMENTO E INSTALAÇÃO</t>
  </si>
  <si>
    <t>CURVA HORIZONTAL 90 GRAUS PERFURADA, PARA ELETROCALHA, EM CHAPA DE ACO GALVANIZADO ESPESSURA #22, 100 X 50 MM (L X A), SEM VIROLA, SEM TAMPA - FORNECIMENTO E INSTALAÇÃO</t>
  </si>
  <si>
    <t>TE HORIZONTAL 90 GRAUS, PARA ELETROCALHA, EM CHAPA DE ACO GALVANIZADO, ESPESSURA #22, 100 X 50 MM (L X A), SEM VIROLA, SEM TAMPA - FORNECIMENTO E INSTALAÇÃO</t>
  </si>
  <si>
    <t>ELETRODUTO METÁLICO FLEXÍVEL Ø3/4" SEALTUBO, FIXADO EM TESOURAS DA ESTRUTURA METÁLICA COM ABRAÇADEIRA METÁLICA TIPO D Ø3/4" FECHO POR PARAFUSO, PARA CIRCUITOS DE ILUMINAÇÃO DA QUADRA - FORNECIMENTO E INSTALAÇÃO</t>
  </si>
  <si>
    <t>CONECTOR BOX RETO DE ALUMINIO PARA ELETRODUTO DE Ø3/4", PARA ADAPTAR ENTRADA DE ELETRODUTO METALICO EM CONDULETES - FORNECIMENTO E INSTALAÇÃO</t>
  </si>
  <si>
    <t>ELETRODUTO FLEXÍVEL CORRUGADO, PVC, DN 25 MM (3/4"), PARA CIRCUITOS TERMINAIS, INSTALADO EM PAREDE - FORNECIMENTO E INSTALAÇÃO. AF_03/2023</t>
  </si>
  <si>
    <t>ELETRODUTO FLEXÍVEL CORRUGADO, PEAD, DN 50 (1 1/2"), PARA REDE ENTERRADA DE DISTRIBUIÇÃO DE ENERGIA ELÉTRICA - FORNECIMENTO E INSTALAÇÃO. AF_12/2021</t>
  </si>
  <si>
    <t>ELETRODUTO RÍGIDO SOLDÁVEL, PVC, DN 25 MM (3/4"), APARENTE - FORNECIMENTO E INSTALAÇÃO. AF_01/2026</t>
  </si>
  <si>
    <t>CAIXA OCTOGONAL 3" X 3", PVC, INSTALADA EM LAJE - FORNECIMENTO E INSTALAÇÃO. AF_03/2023</t>
  </si>
  <si>
    <t>CONDULETE DE PVC, TIPO E, PARA ELETRODUTO DE PVC SOLDÁVEL DN 25 MM (3/4''), APARENTE - FORNECIMENTO E INSTALAÇÃO. AF_01/2026</t>
  </si>
  <si>
    <t>CONDULETE DE ALUMÍNIO, TIPO C, PARA ELETRODUTO DE AÇO GALVANIZADO DN 20 MM (3/4''), APARENTE - FORNECIMENTO E INSTALAÇÃO. AF_01/2026</t>
  </si>
  <si>
    <t>CONDULETE DE ALUMÍNIO, TIPO E, PARA ELETRODUTO DE AÇO GALVANIZADO DN 20 MM (3/4''), APARENTE - FORNECIMENTO E INSTALAÇÃO. AF_01/2026</t>
  </si>
  <si>
    <t>Q05.1</t>
  </si>
  <si>
    <t>Q06.1</t>
  </si>
  <si>
    <t>Q07.1</t>
  </si>
  <si>
    <t>Q08.1</t>
  </si>
  <si>
    <t>Q09.1</t>
  </si>
  <si>
    <t>TOMADA DE EMBUTIR (1 MÓDULO), 2P+T 20 A, INCLUINDO SUPORTE E PLACA - FORNECIMENTO E INSTALAÇÃO. AF_03/2023</t>
  </si>
  <si>
    <t>INTERRUPTOR SIMPLES (1 MÓDULO), 10A/250V, INCLUINDO SUPORTE E PLACA - FORNECIMENTO E INSTALAÇÃO. AF_03/2023</t>
  </si>
  <si>
    <t>INTERRUPTOR SIMPLES (2 MÓDULOS), 10A/250V, INCLUINDO SUPORTE E PLACA - FORNECIMENTO E INSTALAÇÃO. AF_03/2023</t>
  </si>
  <si>
    <t>INTERRUPTOR SIMPLES (1 MÓDULO) COM 1 TOMADA DE EMBUTIR 2P+T 10 A, INCLUINDO SUPORTE E PLACA - FORNECIMENTO E INSTALAÇÃO. AF_03/2023</t>
  </si>
  <si>
    <t>INTERRUPTOR PARALELO (1 MÓDULO), 10A/250V, INCLUINDO SUPORTE E PLACA - FORNECIMENTO E INSTALAÇÃO. AF_03/2023</t>
  </si>
  <si>
    <t>SENSOR DE PRESENÇA COM FOTOCÉLULA, FIXAÇÃO EM TETO - FORNECIMENTO E INSTALAÇÃO. AF_09/2024</t>
  </si>
  <si>
    <t>RELE FOTOELETRICO EXTERNO BIVOLT 1000 W, DE CONECTOR, COM BASE EM SUPORTE METÁLICO - FORNECIMENTO E INSTALAÇÃO</t>
  </si>
  <si>
    <t>TAMPA COM TOMADA 2P+T 10A PARA CONDULETE DE ALUMÍNIO (3/4'') PARA CONEXÃO DE REFLETOR COM PLUGUE - FORNECIMENTO E INSTALAÇÃO</t>
  </si>
  <si>
    <t>PLACA CEGA 4" X 2" INCLUINDO SUPORTE E PLACA - FORNECIMENTO E INSTALAÇÃO</t>
  </si>
  <si>
    <t>MINI EXAUSTOR AXIAL 150X150MM PARA VENTILAÇÃO FORÇADA 150M³/H - FORNECIMENTO E INSTALAÇÃO</t>
  </si>
  <si>
    <t>Q11.1</t>
  </si>
  <si>
    <t>Q10.1</t>
  </si>
  <si>
    <t>Q12.1</t>
  </si>
  <si>
    <t>Q13.1</t>
  </si>
  <si>
    <t>Q14.1</t>
  </si>
  <si>
    <t>CABO DE COBRE FLEXÍVEL ISOLADO, 10MM², ANTI-CHAMA 0,6/1,0 KV, PARA DISTRIBUIÇÃO - FORNECIMENTO E INSTALAÇÃO. AF_03/2022</t>
  </si>
  <si>
    <t>CABO DE COBRE FLEXÍVEL ISOLADO, 16MM², ANTI-CHAMA 0,6/1,0 KV, PARA DISTRIBUIÇÃO - FORNECIMENTO E INSTALAÇÃO. AF_03/2023</t>
  </si>
  <si>
    <t>CABO DE COBRE FLEXÍVEL ISOLADO, 35MM², ANTI-CHAMA 0,6/1,0 KV, PARA DISTRIBUIÇÃO - FORNECIMENTO E INSTALAÇÃO. AF_03/2023</t>
  </si>
  <si>
    <t>CABO DE COBRE MULTIPOLAR BICOLOR 2X2,5MM², ANTI-CHAMA 450/750 V, PARA SISTEMA DE SONORIZAÇÃO - FORNECIMENTO E INSTALAÇÃO. AF_03/2023</t>
  </si>
  <si>
    <t>CABO DE COBRE FLEXÍVEL ISOLADO, 1,5 MM², ANTI-CHAMA 450/750 V, PARA CIRCUITOS TERMINAIS - FORNECIMENTO E INSTALAÇÃO. AF_03/2023</t>
  </si>
  <si>
    <t>CABO DE COBRE FLEXÍVEL ISOLADO, 2,5 MM², ANTI-CHAMA 450/750 V, PARA CIRCUITOS TERMINAIS - FORNECIMENTO E INSTALAÇÃO. AF_03/2023</t>
  </si>
  <si>
    <t>CABO DE COBRE FLEXÍVEL ISOLADO, 4 MM², ANTI-CHAMA 450/750 V, PARA CIRCUITOS TERMINAIS - FORNECIMENTO E INSTALAÇÃO. AF_03/2023</t>
  </si>
  <si>
    <t>CABO DE COBRE FLEXÍVEL ISOLADO, 6 MM², ANTI-CHAMA 450/750 V, PARA CIRCUITOS TERMINAIS - FORNECIMENTO E INSTALAÇÃO. AF_03/2023</t>
  </si>
  <si>
    <t>PROJETOR REFLETOR MODULAR LED 200W; AUTOVOLT (100V - 250V) COM DPS; MÍNIMO 33.000 LM; 165 LM/W; VIDA ÚTIL MÍNIMA 90.000H @L70; 5000K; ÂNGULO DE ABERTURA 90º; IP67; IRC≥70; IK10; GARANTIA 5 ANOS; COM SUPORTE PARA FIXAÇÃO EM ALUMÍNIO; COM PLUGUE 2P+T 10A - FORNECIMENTO E INSTALAÇÃO</t>
  </si>
  <si>
    <t>PAINEL DE LED QUADRADO DE SOBREPOR 40X40CM, 32W, AUTOVOLT (100V - 250V), MÍNIMO 3.200 LM, 6500K - FORNECIMENTO E INSTALAÇÃO</t>
  </si>
  <si>
    <t>PAINEL DE LED QUADRADO DE SOBREPOR 30X30CM, 24W, AUTOVOLT (100V - 250V), MÍNIMO 2.400 LM, 6500K - FORNECIMENTO E INSTALAÇÃO</t>
  </si>
  <si>
    <t>LUMINÁRIA ARANDELA TIPO MEIA LUA, DE SOBREPOR, COM 1 LÂMPADA LED DE 6 W, SEM REATOR - FORNECIMENTO E INSTALAÇÃO. AF_09/2024</t>
  </si>
  <si>
    <t>LUMINARIA LED REFLETOR RETANGULAR BIVOLT, LUZ BRANCA, 30 W - FORNECIMENTO E INSTALAÇÃO</t>
  </si>
  <si>
    <t>LUMINARIA LED REFLETOR RETANGULAR BIVOLT, LUZ BRANCA, 50 W - FORNECIMENTO E INSTALAÇÃO</t>
  </si>
  <si>
    <t>Q15.1</t>
  </si>
  <si>
    <t>Q16.1</t>
  </si>
  <si>
    <t>Q17.1</t>
  </si>
  <si>
    <t>Q18.1</t>
  </si>
  <si>
    <t>Q19.1</t>
  </si>
  <si>
    <t>CABO ELETRÔNICO CATEGORIA 6, INSTALADO EM EDIFICAÇÃO INSTITUCIONAL - FORNECIMENTO E INSTALAÇÃO. AF_08/2025</t>
  </si>
  <si>
    <t>TOMADA DE REDE RJ45 - FORNECIMENTO E INSTALAÇÃO. AF_08/2025</t>
  </si>
  <si>
    <t>CAIXA RETANGULAR 4" X 2" BAIXA (0,30 M DO PISO), PVC, INSTALADA EM PAREDE - FORNECIMENTO E INSTALAÇÃO. AF_03/2023</t>
  </si>
  <si>
    <t>ELETRODUTO FLEXÍVEL CORRUGADO, PVC, DN 32 MM (1"), PARA CIRCUITOS TERMINAIS, INSTALADO EM PAREDE - FORNECIMENTO E INSTALAÇÃO. AF_03/2023</t>
  </si>
  <si>
    <t>PERFILADO PERFURADO SIMPLES 38 X 38 MM, CHAPA 22, INCLUSO SUPORTES E CONEXÕES DE FIXAÇÃO - FORNECIMENTO E INSTALAÇÃO</t>
  </si>
  <si>
    <t>CAIXA DE PASSAGEM DE PAREDE, DE EMBUTIR, EM TERMOPLASTICO / PVC, COM TAMPA APARAFUSADA, DIMENSOES 400 X 400 X *120* MM - FORNECIMENTO E INSTALAÇÃO</t>
  </si>
  <si>
    <t>RACK DE PAREDE PADRÃO 19" 12U X 570MM COM ESTRUTURA SOLDADA EM AÇO SAE 1020 1,5MM, PORTA FRONTAL EMBUTIDA, ARMAÇÃO EM AÇO 1,5MM, COM VISOR EM ACRÍLICO FUMÊ 2MM, COM FECHADURA ESCAMOTEÁVEL, COM LATERAIS E FUNDOS REMOVÍVEIS 0,75MM, COM ALETAS DE VENTILAÇÃO E FECHO RÁPIDO, COM KIT DE 1º E 2º PLANO MÓVEL 1,5MM COM FUROS 9X9MM PARA PORCA GAIOLA, COM GUIA ARGOLAS SOLDADAS INTERNAMENTE NAS COLUNAS TRASEIRAS PARA ACOMODAÇÃO DE CABOS, COM BASE DE 1,9MM COM ABERTURA NA PARTE TRASEIRA PARA PASSAGEM DE CABOS, COM 1 BANDEJA FIXA 1U X 500 MM, COM 1 RÉGUA DE 8 TOMADAS 2P+T 10A, COM 2 GUIA ORGANIZADOR DE CABOS 1U - FORNECIMENTO E INSTALAÇÃO</t>
  </si>
  <si>
    <t>PATCH CORD PRONTO, CATEGORIA 6 (CAT 6) UTP, 23 AWG, 4 PARES, EXTENSAO DE 1,50 M - FORNECIMENTO E INSTALAÇÃO</t>
  </si>
  <si>
    <t>SWITCH GERENCIÁVEL 24 PORTAS RJ45 GIGABIT (10/100/1000MBPS) + 04 PORTAS SFP - FORNECIMENTO E INSTALAÇÃO</t>
  </si>
  <si>
    <t>SWITCH 8 PORTAS RJ45 GIGABIT (10/100/1000MBPS) - FORNECIMENTO E INSTALAÇÃO</t>
  </si>
  <si>
    <t>Q20.1</t>
  </si>
  <si>
    <t>Q21.1</t>
  </si>
  <si>
    <t>Q22.1</t>
  </si>
  <si>
    <t>Q23.1</t>
  </si>
  <si>
    <t>Q24.1</t>
  </si>
  <si>
    <t>Q25.1</t>
  </si>
  <si>
    <t>PPCI</t>
  </si>
  <si>
    <t>REDE LÓGICA</t>
  </si>
  <si>
    <t>ILUMINAÇÃO</t>
  </si>
  <si>
    <t>CABEAMENTO</t>
  </si>
  <si>
    <t>ACABAMENTOS</t>
  </si>
  <si>
    <t>INFRAESTRUTURA</t>
  </si>
  <si>
    <t>QUADRO DE DISTRIBUIÇÃO</t>
  </si>
  <si>
    <t>RAMAL DE CARGA SUBTERRÂNEO - TRECHO ENTRE PADRÃO E QGBT</t>
  </si>
  <si>
    <t>INSTALAÇÕES ELÉTRICAS</t>
  </si>
  <si>
    <t>PLANILHA DE CRONOGRAMA FÍSICO-FINANCEIRO</t>
  </si>
  <si>
    <t>PLANILHA                   01</t>
  </si>
  <si>
    <t>002/005</t>
  </si>
  <si>
    <t>Data de referência dos custos: 02/2026 - DESONERADO</t>
  </si>
  <si>
    <t>Periodicidade das etapas: Mensal</t>
  </si>
  <si>
    <t>PERÍODO</t>
  </si>
  <si>
    <t>TOTAL</t>
  </si>
  <si>
    <t>Etapa 01</t>
  </si>
  <si>
    <t>Etapa 02</t>
  </si>
  <si>
    <t>Etapa 03</t>
  </si>
  <si>
    <t>Etapa 04</t>
  </si>
  <si>
    <t>Etapa 05</t>
  </si>
  <si>
    <t>Etapa 06</t>
  </si>
  <si>
    <t>Etapa 07</t>
  </si>
  <si>
    <t xml:space="preserve">R$ </t>
  </si>
  <si>
    <t>%</t>
  </si>
  <si>
    <t>TOTAL NO MÊS (SIMPLES)</t>
  </si>
  <si>
    <t>TOTAL NO MÊS (ACUMULADO)</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</si>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</sst>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43" formatCode="_-* #,##0.00_-;\-* #,##0.00_-;_-* &quot;-&quot;??_-;_-@_-"/>
    <numFmt numFmtId="164" formatCode="#,##0.00_ ;\-#,##0.00\ "/>
  </numFmts>
  <fonts count="13" x14ac:knownFonts="1">
    <font>
      <sz val="10"/>
      <color rgb="FF000000"/>
      <name val="Times New Roman"/>
      <charset val="204"/>
    </font>
    <font>
      <sz val="11"/>
      <color theme="1"/>
      <name val="Calibri"/>
      <family val="2"/>
      <scheme val="minor"/>
    </font>
    <font>
      <b/>
      <sz val="12"/>
      <color rgb="FF000000"/>
      <name val="Times New Roman"/>
      <family val="1"/>
    </font>
    <font>
      <sz val="10"/>
      <color rgb="FF000000"/>
      <name val="Times New Roman"/>
      <family val="1"/>
    </font>
    <font>
      <b/>
      <sz val="10"/>
      <color rgb="FF000000"/>
      <name val="Times New Roman"/>
      <family val="1"/>
    </font>
    <font>
      <b/>
      <sz val="10"/>
      <name val="Times New Roman"/>
      <family val="1"/>
    </font>
    <font>
      <sz val="10"/>
      <color rgb="FFFF0000"/>
      <name val="Times New Roman"/>
      <family val="1"/>
    </font>
    <font>
      <b/>
      <sz val="7"/>
      <color rgb="FF000000"/>
      <name val="Times New Roman"/>
      <family val="1"/>
    </font>
    <font>
      <b/>
      <sz val="10"/>
      <color rgb="FFFF0000"/>
      <name val="Times New Roman"/>
      <family val="1"/>
    </font>
    <font>
      <sz val="10"/>
      <name val="Times New Roman"/>
      <family val="1"/>
    </font>
    <font>
      <sz val="10"/>
      <color theme="1"/>
      <name val="Times New Roman"/>
      <family val="1"/>
    </font>
    <font>
      <b/>
      <sz val="10"/>
      <color theme="1"/>
      <name val="Times New Roman"/>
      <family val="1"/>
    </font>
    <font>
      <sz val="8"/>
      <name val="Times New Roman"/>
      <charset val="204"/>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s>
  <cellStyleXfs count="6">
    <xf numFmtId="0" fontId="0" fillId="0" borderId="0"/>
    <xf numFmtId="44" fontId="3" fillId="0" borderId="0" applyFont="0" applyFill="0" applyBorder="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90">
    <xf numFmtId="0" fontId="0" fillId="0" borderId="0" xfId="0"/>
    <xf numFmtId="0" fontId="3" fillId="0" borderId="0" xfId="0" applyFont="1" applyAlignment="1">
      <alignment horizontal="left"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2" fontId="6" fillId="0" borderId="0" xfId="0" applyNumberFormat="1" applyFont="1" applyAlignment="1">
      <alignment horizontal="center" vertical="center"/>
    </xf>
    <xf numFmtId="0" fontId="6" fillId="0" borderId="0" xfId="0" applyFont="1" applyAlignment="1">
      <alignment horizontal="center" vertical="center"/>
    </xf>
    <xf numFmtId="0" fontId="3" fillId="0" borderId="12" xfId="0" applyFont="1" applyBorder="1" applyAlignment="1">
      <alignment horizontal="center" vertical="center"/>
    </xf>
    <xf numFmtId="0" fontId="4" fillId="3" borderId="10" xfId="0" applyFont="1" applyFill="1" applyBorder="1" applyAlignment="1">
      <alignment horizontal="center" vertical="center"/>
    </xf>
    <xf numFmtId="0" fontId="7" fillId="3" borderId="10"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0" xfId="0" applyFont="1" applyFill="1" applyBorder="1" applyAlignment="1">
      <alignment horizontal="left" vertical="center" wrapText="1"/>
    </xf>
    <xf numFmtId="2" fontId="8" fillId="4" borderId="10" xfId="0" applyNumberFormat="1" applyFont="1" applyFill="1" applyBorder="1" applyAlignment="1">
      <alignment horizontal="center" vertical="center" wrapText="1"/>
    </xf>
    <xf numFmtId="0" fontId="8" fillId="4"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left" vertical="center" wrapText="1"/>
    </xf>
    <xf numFmtId="4" fontId="9" fillId="0" borderId="10" xfId="0" applyNumberFormat="1" applyFont="1" applyBorder="1" applyAlignment="1">
      <alignment horizontal="center" vertical="center" wrapText="1"/>
    </xf>
    <xf numFmtId="2" fontId="9" fillId="2" borderId="10" xfId="1" applyNumberFormat="1" applyFont="1" applyFill="1" applyBorder="1" applyAlignment="1">
      <alignment horizontal="center" vertical="center" wrapText="1"/>
    </xf>
    <xf numFmtId="10" fontId="3" fillId="2" borderId="10" xfId="0" applyNumberFormat="1" applyFont="1" applyFill="1" applyBorder="1" applyAlignment="1">
      <alignment horizontal="center" vertical="center" wrapText="1"/>
    </xf>
    <xf numFmtId="4" fontId="3" fillId="2" borderId="10" xfId="0" applyNumberFormat="1" applyFont="1" applyFill="1" applyBorder="1" applyAlignment="1">
      <alignment horizontal="center" vertical="center" wrapText="1"/>
    </xf>
    <xf numFmtId="0" fontId="0" fillId="0" borderId="0" xfId="0" applyAlignment="1">
      <alignment horizontal="left" vertical="top"/>
    </xf>
    <xf numFmtId="0" fontId="9" fillId="0" borderId="0" xfId="0" applyFont="1" applyAlignment="1">
      <alignment horizontal="left" vertical="top"/>
    </xf>
    <xf numFmtId="0" fontId="9" fillId="0" borderId="0" xfId="0" applyFont="1" applyAlignment="1">
      <alignment horizontal="left" vertical="center"/>
    </xf>
    <xf numFmtId="0" fontId="4" fillId="5" borderId="10" xfId="0" applyFont="1" applyFill="1" applyBorder="1" applyAlignment="1">
      <alignment horizontal="center" vertical="center" wrapText="1"/>
    </xf>
    <xf numFmtId="0" fontId="4" fillId="5" borderId="10" xfId="0" applyFont="1" applyFill="1" applyBorder="1" applyAlignment="1">
      <alignment horizontal="left" vertical="center" wrapText="1"/>
    </xf>
    <xf numFmtId="2" fontId="8" fillId="5" borderId="10" xfId="0" applyNumberFormat="1" applyFont="1" applyFill="1" applyBorder="1" applyAlignment="1">
      <alignment horizontal="center" vertical="center" wrapText="1"/>
    </xf>
    <xf numFmtId="0" fontId="8" fillId="5"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horizontal="left" vertical="center" wrapText="1"/>
    </xf>
    <xf numFmtId="4" fontId="10" fillId="0" borderId="10" xfId="0" applyNumberFormat="1"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10" xfId="0" applyFont="1" applyFill="1" applyBorder="1" applyAlignment="1">
      <alignment horizontal="left" vertical="center" wrapText="1"/>
    </xf>
    <xf numFmtId="2" fontId="5" fillId="5" borderId="10" xfId="0" applyNumberFormat="1" applyFont="1" applyFill="1" applyBorder="1" applyAlignment="1">
      <alignment horizontal="center" vertical="center" wrapText="1"/>
    </xf>
    <xf numFmtId="10" fontId="9" fillId="2" borderId="10" xfId="0" applyNumberFormat="1" applyFont="1" applyFill="1" applyBorder="1" applyAlignment="1">
      <alignment horizontal="center" vertical="center" wrapText="1"/>
    </xf>
    <xf numFmtId="4" fontId="9" fillId="2" borderId="10" xfId="0" applyNumberFormat="1" applyFont="1" applyFill="1" applyBorder="1" applyAlignment="1">
      <alignment horizontal="center" vertical="center" wrapText="1"/>
    </xf>
    <xf numFmtId="0" fontId="3" fillId="4" borderId="10" xfId="0" applyFont="1" applyFill="1" applyBorder="1" applyAlignment="1">
      <alignment horizontal="left" vertical="center" wrapText="1"/>
    </xf>
    <xf numFmtId="0" fontId="3" fillId="4" borderId="10" xfId="0" applyFont="1" applyFill="1" applyBorder="1" applyAlignment="1">
      <alignment horizontal="center" vertical="center" wrapText="1"/>
    </xf>
    <xf numFmtId="2" fontId="6" fillId="4" borderId="10" xfId="0" applyNumberFormat="1" applyFont="1" applyFill="1" applyBorder="1" applyAlignment="1">
      <alignment horizontal="center" vertical="center" wrapText="1"/>
    </xf>
    <xf numFmtId="4" fontId="6" fillId="4" borderId="10" xfId="0" applyNumberFormat="1" applyFont="1" applyFill="1" applyBorder="1" applyAlignment="1">
      <alignment horizontal="center" vertical="center" wrapText="1"/>
    </xf>
    <xf numFmtId="4" fontId="3" fillId="4" borderId="10" xfId="0" applyNumberFormat="1" applyFont="1" applyFill="1" applyBorder="1" applyAlignment="1">
      <alignment horizontal="center" vertical="center" wrapText="1"/>
    </xf>
    <xf numFmtId="0" fontId="9" fillId="0" borderId="10" xfId="0" applyFont="1" applyBorder="1" applyAlignment="1">
      <alignment vertical="center" wrapText="1"/>
    </xf>
    <xf numFmtId="2" fontId="9" fillId="0" borderId="10" xfId="0" applyNumberFormat="1" applyFont="1" applyBorder="1" applyAlignment="1">
      <alignment horizontal="center" vertical="center" wrapText="1"/>
    </xf>
    <xf numFmtId="0" fontId="3" fillId="2" borderId="0" xfId="0" applyFont="1" applyFill="1" applyAlignment="1">
      <alignment vertical="top"/>
    </xf>
    <xf numFmtId="2" fontId="6" fillId="2" borderId="0" xfId="0" applyNumberFormat="1" applyFont="1" applyFill="1" applyAlignment="1">
      <alignment vertical="center" wrapText="1"/>
    </xf>
    <xf numFmtId="0" fontId="6" fillId="2" borderId="0" xfId="0" applyFont="1" applyFill="1" applyAlignment="1">
      <alignment vertical="center" wrapText="1"/>
    </xf>
    <xf numFmtId="0" fontId="3" fillId="2" borderId="0" xfId="0" applyFont="1" applyFill="1" applyAlignment="1">
      <alignment horizontal="left" vertical="center"/>
    </xf>
    <xf numFmtId="0" fontId="3" fillId="2" borderId="12" xfId="0" applyFont="1" applyFill="1" applyBorder="1" applyAlignment="1">
      <alignment vertical="top"/>
    </xf>
    <xf numFmtId="0" fontId="3" fillId="2" borderId="0" xfId="0" applyFont="1" applyFill="1" applyAlignment="1">
      <alignment vertical="center"/>
    </xf>
    <xf numFmtId="2" fontId="6" fillId="2" borderId="0" xfId="0" applyNumberFormat="1" applyFont="1" applyFill="1" applyAlignment="1">
      <alignment vertical="center"/>
    </xf>
    <xf numFmtId="0" fontId="6" fillId="2" borderId="0" xfId="0" applyFont="1" applyFill="1" applyAlignment="1">
      <alignment vertical="center"/>
    </xf>
    <xf numFmtId="0" fontId="3" fillId="2" borderId="19"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3" fillId="2" borderId="24" xfId="0" applyFont="1" applyFill="1" applyBorder="1" applyAlignment="1">
      <alignment vertical="center" wrapText="1"/>
    </xf>
    <xf numFmtId="2" fontId="6" fillId="2" borderId="24" xfId="0" applyNumberFormat="1" applyFont="1" applyFill="1" applyBorder="1" applyAlignment="1">
      <alignment vertical="center" wrapText="1"/>
    </xf>
    <xf numFmtId="0" fontId="6" fillId="2" borderId="24" xfId="0" applyFont="1" applyFill="1" applyBorder="1" applyAlignment="1">
      <alignment vertical="center" wrapText="1"/>
    </xf>
    <xf numFmtId="0" fontId="3" fillId="2" borderId="24" xfId="0" applyFont="1" applyFill="1" applyBorder="1" applyAlignment="1">
      <alignment vertical="top"/>
    </xf>
    <xf numFmtId="0" fontId="3" fillId="2" borderId="25" xfId="0" applyFont="1" applyFill="1" applyBorder="1" applyAlignment="1">
      <alignment vertical="top"/>
    </xf>
    <xf numFmtId="44" fontId="4" fillId="4" borderId="10" xfId="1" applyFont="1" applyFill="1" applyBorder="1" applyAlignment="1">
      <alignment horizontal="center" vertical="center" wrapText="1"/>
    </xf>
    <xf numFmtId="44" fontId="4" fillId="5" borderId="10" xfId="1" applyFont="1" applyFill="1" applyBorder="1" applyAlignment="1">
      <alignment horizontal="center" vertical="center" wrapText="1"/>
    </xf>
    <xf numFmtId="44" fontId="10" fillId="2" borderId="10" xfId="1" applyFont="1" applyFill="1" applyBorder="1" applyAlignment="1">
      <alignment horizontal="center" vertical="center" wrapText="1"/>
    </xf>
    <xf numFmtId="0" fontId="3" fillId="5" borderId="10"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4" fillId="5" borderId="10" xfId="0" applyFont="1" applyFill="1" applyBorder="1" applyAlignment="1">
      <alignment vertical="center" wrapText="1"/>
    </xf>
    <xf numFmtId="2" fontId="9" fillId="5" borderId="10" xfId="0" applyNumberFormat="1" applyFont="1" applyFill="1" applyBorder="1" applyAlignment="1">
      <alignment horizontal="center" vertical="center" wrapText="1"/>
    </xf>
    <xf numFmtId="2" fontId="6" fillId="5" borderId="10" xfId="1" applyNumberFormat="1" applyFont="1" applyFill="1" applyBorder="1" applyAlignment="1">
      <alignment horizontal="center" vertical="center" wrapText="1"/>
    </xf>
    <xf numFmtId="10" fontId="3" fillId="5" borderId="10" xfId="0" applyNumberFormat="1" applyFont="1" applyFill="1" applyBorder="1" applyAlignment="1">
      <alignment horizontal="center" vertical="center" wrapText="1"/>
    </xf>
    <xf numFmtId="4" fontId="3" fillId="5" borderId="10" xfId="0" applyNumberFormat="1" applyFont="1" applyFill="1" applyBorder="1" applyAlignment="1">
      <alignment horizontal="center" vertical="center" wrapText="1"/>
    </xf>
    <xf numFmtId="0" fontId="3" fillId="2" borderId="20" xfId="0" applyFont="1" applyFill="1" applyBorder="1" applyAlignment="1">
      <alignment horizontal="center" vertical="center" wrapText="1"/>
    </xf>
    <xf numFmtId="44" fontId="9" fillId="2" borderId="10" xfId="1" applyFont="1" applyFill="1" applyBorder="1" applyAlignment="1">
      <alignment horizontal="center" vertical="center" wrapText="1"/>
    </xf>
    <xf numFmtId="0" fontId="9" fillId="0" borderId="10" xfId="0" applyFont="1" applyBorder="1" applyAlignment="1">
      <alignment horizontal="center" vertical="center"/>
    </xf>
    <xf numFmtId="0" fontId="3" fillId="0" borderId="0" xfId="0" applyFont="1" applyAlignment="1">
      <alignment horizontal="left" vertical="top" wrapText="1"/>
    </xf>
    <xf numFmtId="0" fontId="3" fillId="0" borderId="10" xfId="0" applyFont="1" applyBorder="1" applyAlignment="1">
      <alignment vertical="center" wrapText="1"/>
    </xf>
    <xf numFmtId="2" fontId="9" fillId="2" borderId="10" xfId="0" applyNumberFormat="1" applyFont="1" applyFill="1" applyBorder="1" applyAlignment="1">
      <alignment horizontal="center" vertical="center" wrapText="1"/>
    </xf>
    <xf numFmtId="2" fontId="9" fillId="0" borderId="10" xfId="0" applyNumberFormat="1" applyFont="1" applyBorder="1" applyAlignment="1">
      <alignment horizontal="center" vertical="center"/>
    </xf>
    <xf numFmtId="0" fontId="3" fillId="5" borderId="20" xfId="0" applyFont="1" applyFill="1" applyBorder="1" applyAlignment="1">
      <alignment vertical="center" wrapText="1"/>
    </xf>
    <xf numFmtId="44" fontId="3" fillId="4" borderId="10" xfId="1" applyFont="1" applyFill="1" applyBorder="1" applyAlignment="1">
      <alignment horizontal="center" vertical="center" wrapText="1"/>
    </xf>
    <xf numFmtId="0" fontId="4" fillId="2" borderId="9" xfId="0" applyFont="1" applyFill="1" applyBorder="1" applyAlignment="1">
      <alignment horizontal="center" vertical="top"/>
    </xf>
    <xf numFmtId="0" fontId="0" fillId="0" borderId="20" xfId="0" applyBorder="1" applyAlignment="1">
      <alignment horizontal="left" vertical="top"/>
    </xf>
    <xf numFmtId="0" fontId="0" fillId="0" borderId="31" xfId="0" applyBorder="1" applyAlignment="1">
      <alignment horizontal="left" vertical="top"/>
    </xf>
    <xf numFmtId="0" fontId="4" fillId="5" borderId="10" xfId="0" applyFont="1" applyFill="1" applyBorder="1" applyAlignment="1">
      <alignment horizontal="center" vertical="top"/>
    </xf>
    <xf numFmtId="0" fontId="4" fillId="5" borderId="22" xfId="0" applyFont="1" applyFill="1" applyBorder="1" applyAlignment="1">
      <alignment horizontal="center" vertical="top"/>
    </xf>
    <xf numFmtId="0" fontId="4" fillId="5" borderId="32" xfId="0" applyFont="1" applyFill="1" applyBorder="1" applyAlignment="1">
      <alignment horizontal="center" vertical="top"/>
    </xf>
    <xf numFmtId="0" fontId="3" fillId="2" borderId="10" xfId="0" applyFont="1" applyFill="1" applyBorder="1" applyAlignment="1">
      <alignment horizontal="left" vertical="top" wrapText="1"/>
    </xf>
    <xf numFmtId="4" fontId="0" fillId="2" borderId="10" xfId="0" applyNumberFormat="1" applyFill="1" applyBorder="1" applyAlignment="1">
      <alignment horizontal="right" vertical="center"/>
    </xf>
    <xf numFmtId="10" fontId="0" fillId="2" borderId="10" xfId="2" applyNumberFormat="1" applyFont="1" applyFill="1" applyBorder="1" applyAlignment="1">
      <alignment horizontal="right" vertical="center"/>
    </xf>
    <xf numFmtId="10" fontId="0" fillId="2" borderId="10" xfId="2" applyNumberFormat="1" applyFont="1" applyFill="1" applyBorder="1" applyAlignment="1">
      <alignment horizontal="center" vertical="center"/>
    </xf>
    <xf numFmtId="10" fontId="0" fillId="2" borderId="10" xfId="2" applyNumberFormat="1" applyFont="1" applyFill="1" applyBorder="1" applyAlignment="1">
      <alignment horizontal="center" vertical="top"/>
    </xf>
    <xf numFmtId="10" fontId="3" fillId="2" borderId="10" xfId="2" applyNumberFormat="1" applyFont="1" applyFill="1" applyBorder="1" applyAlignment="1">
      <alignment horizontal="center" vertical="top"/>
    </xf>
    <xf numFmtId="164" fontId="0" fillId="5" borderId="10" xfId="0" applyNumberFormat="1" applyFill="1" applyBorder="1" applyAlignment="1">
      <alignment horizontal="right" vertical="top"/>
    </xf>
    <xf numFmtId="9" fontId="0" fillId="5" borderId="32" xfId="2" applyFont="1" applyFill="1" applyBorder="1" applyAlignment="1">
      <alignment horizontal="center" vertical="top"/>
    </xf>
    <xf numFmtId="4" fontId="0" fillId="5" borderId="10" xfId="0" applyNumberFormat="1" applyFill="1" applyBorder="1" applyAlignment="1">
      <alignment horizontal="center" vertical="top"/>
    </xf>
    <xf numFmtId="10" fontId="0" fillId="5" borderId="10" xfId="0" applyNumberFormat="1" applyFill="1" applyBorder="1" applyAlignment="1">
      <alignment horizontal="center" vertical="top"/>
    </xf>
    <xf numFmtId="164" fontId="4" fillId="5" borderId="10" xfId="0" applyNumberFormat="1" applyFont="1" applyFill="1" applyBorder="1" applyAlignment="1">
      <alignment horizontal="right" vertical="top"/>
    </xf>
    <xf numFmtId="9" fontId="4" fillId="5" borderId="32" xfId="2" applyFont="1" applyFill="1" applyBorder="1" applyAlignment="1">
      <alignment horizontal="center" vertical="top"/>
    </xf>
    <xf numFmtId="0" fontId="0" fillId="5" borderId="10" xfId="0" applyFill="1" applyBorder="1" applyAlignment="1">
      <alignment horizontal="left" vertical="top"/>
    </xf>
    <xf numFmtId="0" fontId="0" fillId="5" borderId="32" xfId="0" applyFill="1" applyBorder="1" applyAlignment="1">
      <alignment horizontal="left" vertical="top"/>
    </xf>
    <xf numFmtId="49" fontId="0" fillId="2" borderId="0" xfId="0" applyNumberFormat="1" applyFill="1" applyAlignment="1">
      <alignment vertical="center"/>
    </xf>
    <xf numFmtId="0" fontId="0" fillId="2" borderId="0" xfId="0" applyFill="1" applyAlignment="1">
      <alignment horizontal="left" vertical="top"/>
    </xf>
    <xf numFmtId="0" fontId="0" fillId="2" borderId="0" xfId="0" applyFill="1" applyAlignment="1">
      <alignment vertical="top"/>
    </xf>
    <xf numFmtId="0" fontId="0" fillId="2" borderId="12" xfId="0" applyFill="1" applyBorder="1" applyAlignment="1">
      <alignment vertical="top"/>
    </xf>
    <xf numFmtId="0" fontId="0" fillId="2" borderId="12" xfId="0" applyFill="1" applyBorder="1" applyAlignment="1">
      <alignment horizontal="left" vertical="top"/>
    </xf>
    <xf numFmtId="0" fontId="0" fillId="2" borderId="19" xfId="0" applyFill="1" applyBorder="1" applyAlignment="1">
      <alignment horizontal="left" vertical="top"/>
    </xf>
    <xf numFmtId="0" fontId="0" fillId="0" borderId="23" xfId="0" applyBorder="1" applyAlignment="1">
      <alignment horizontal="left" vertical="top"/>
    </xf>
    <xf numFmtId="0" fontId="0" fillId="2" borderId="24" xfId="0" applyFill="1" applyBorder="1" applyAlignment="1">
      <alignment horizontal="left" vertical="top"/>
    </xf>
    <xf numFmtId="0" fontId="0" fillId="2" borderId="25" xfId="0" applyFill="1" applyBorder="1" applyAlignment="1">
      <alignment horizontal="left" vertical="top"/>
    </xf>
    <xf numFmtId="49" fontId="0" fillId="2" borderId="11" xfId="0" applyNumberFormat="1" applyFill="1" applyBorder="1" applyAlignment="1">
      <alignment vertical="center"/>
    </xf>
    <xf numFmtId="0" fontId="0" fillId="2" borderId="11" xfId="0" applyFill="1" applyBorder="1" applyAlignment="1">
      <alignment horizontal="left" vertical="top"/>
    </xf>
    <xf numFmtId="0" fontId="0" fillId="2" borderId="33" xfId="0" applyFill="1" applyBorder="1" applyAlignment="1">
      <alignment horizontal="left" vertical="top"/>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14" fontId="3" fillId="2" borderId="11" xfId="0" applyNumberFormat="1" applyFont="1" applyFill="1" applyBorder="1" applyAlignment="1">
      <alignment horizontal="center" vertical="center"/>
    </xf>
    <xf numFmtId="0" fontId="3" fillId="2" borderId="1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9" xfId="0" applyFont="1" applyFill="1" applyBorder="1" applyAlignment="1">
      <alignment horizontal="left" vertical="center"/>
    </xf>
    <xf numFmtId="0" fontId="3" fillId="2" borderId="0" xfId="0" applyFont="1" applyFill="1" applyAlignment="1">
      <alignment horizontal="left" vertical="center"/>
    </xf>
    <xf numFmtId="0" fontId="3" fillId="2" borderId="19"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0" fillId="0" borderId="30" xfId="0" applyBorder="1" applyAlignment="1">
      <alignment horizontal="center" vertical="top"/>
    </xf>
    <xf numFmtId="0" fontId="0" fillId="0" borderId="21" xfId="0" applyBorder="1" applyAlignment="1">
      <alignment horizontal="center" vertical="top"/>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4" fillId="2" borderId="28" xfId="0" applyFont="1" applyFill="1" applyBorder="1" applyAlignment="1">
      <alignment horizontal="center" vertical="top" wrapText="1"/>
    </xf>
    <xf numFmtId="0" fontId="4" fillId="2" borderId="29" xfId="0" applyFont="1" applyFill="1" applyBorder="1" applyAlignment="1">
      <alignment horizontal="center" vertical="top" wrapText="1"/>
    </xf>
    <xf numFmtId="0" fontId="4" fillId="2" borderId="9" xfId="0" applyFont="1" applyFill="1" applyBorder="1" applyAlignment="1">
      <alignment horizontal="center" vertical="top"/>
    </xf>
    <xf numFmtId="0" fontId="4" fillId="2" borderId="10" xfId="0" applyFont="1" applyFill="1" applyBorder="1" applyAlignment="1">
      <alignment horizontal="center" vertical="top"/>
    </xf>
    <xf numFmtId="0" fontId="4" fillId="2" borderId="17" xfId="0" applyFont="1" applyFill="1" applyBorder="1" applyAlignment="1">
      <alignment horizontal="center" vertical="top" wrapText="1"/>
    </xf>
    <xf numFmtId="0" fontId="4" fillId="2" borderId="18" xfId="0" applyFont="1" applyFill="1" applyBorder="1" applyAlignment="1">
      <alignment horizontal="center" vertical="top" wrapText="1"/>
    </xf>
    <xf numFmtId="0" fontId="4" fillId="2" borderId="9" xfId="0" applyFont="1" applyFill="1" applyBorder="1" applyAlignment="1">
      <alignment horizontal="left" vertical="top" wrapText="1"/>
    </xf>
    <xf numFmtId="0" fontId="4" fillId="2" borderId="10" xfId="0" applyFont="1" applyFill="1" applyBorder="1" applyAlignment="1">
      <alignment horizontal="left" vertical="top"/>
    </xf>
    <xf numFmtId="0" fontId="4" fillId="2" borderId="9" xfId="0" applyFont="1" applyFill="1" applyBorder="1" applyAlignment="1">
      <alignment horizontal="left" vertical="top"/>
    </xf>
    <xf numFmtId="0" fontId="3" fillId="2" borderId="11" xfId="0" applyFont="1" applyFill="1" applyBorder="1" applyAlignment="1">
      <alignment horizontal="center" vertical="top"/>
    </xf>
    <xf numFmtId="0" fontId="3" fillId="2" borderId="12" xfId="0" applyFont="1" applyFill="1" applyBorder="1" applyAlignment="1">
      <alignment horizontal="center" vertical="top"/>
    </xf>
    <xf numFmtId="0" fontId="3" fillId="2" borderId="7" xfId="0" applyFont="1" applyFill="1" applyBorder="1" applyAlignment="1">
      <alignment horizontal="center" vertical="top"/>
    </xf>
    <xf numFmtId="0" fontId="3" fillId="2" borderId="8" xfId="0" applyFont="1" applyFill="1" applyBorder="1" applyAlignment="1">
      <alignment horizontal="center" vertical="top"/>
    </xf>
    <xf numFmtId="0" fontId="4" fillId="2" borderId="17" xfId="0" applyFont="1" applyFill="1" applyBorder="1" applyAlignment="1">
      <alignment horizontal="center" vertical="top"/>
    </xf>
    <xf numFmtId="0" fontId="4" fillId="2" borderId="18" xfId="0" applyFont="1" applyFill="1" applyBorder="1" applyAlignment="1">
      <alignment horizontal="center" vertical="top"/>
    </xf>
    <xf numFmtId="14" fontId="0" fillId="2" borderId="11" xfId="0" applyNumberFormat="1" applyFill="1" applyBorder="1" applyAlignment="1">
      <alignment horizontal="center" vertical="top"/>
    </xf>
    <xf numFmtId="0" fontId="0" fillId="2" borderId="12" xfId="0" applyFill="1" applyBorder="1" applyAlignment="1">
      <alignment horizontal="center" vertical="top"/>
    </xf>
    <xf numFmtId="0" fontId="0" fillId="2" borderId="7" xfId="0" applyFill="1" applyBorder="1" applyAlignment="1">
      <alignment horizontal="center" vertical="top"/>
    </xf>
    <xf numFmtId="0" fontId="0" fillId="2" borderId="8" xfId="0" applyFill="1" applyBorder="1" applyAlignment="1">
      <alignment horizontal="center" vertical="top"/>
    </xf>
    <xf numFmtId="0" fontId="4" fillId="5" borderId="22" xfId="0" applyFont="1" applyFill="1" applyBorder="1" applyAlignment="1">
      <alignment horizontal="center" vertical="center"/>
    </xf>
    <xf numFmtId="0" fontId="4" fillId="5" borderId="32" xfId="0" applyFont="1" applyFill="1" applyBorder="1" applyAlignment="1">
      <alignment horizontal="center" vertical="center"/>
    </xf>
    <xf numFmtId="0" fontId="4" fillId="5" borderId="10" xfId="0" applyFont="1" applyFill="1" applyBorder="1" applyAlignment="1">
      <alignment horizontal="center" vertical="top"/>
    </xf>
    <xf numFmtId="0" fontId="4" fillId="5" borderId="20" xfId="0" applyFont="1" applyFill="1" applyBorder="1" applyAlignment="1">
      <alignment horizontal="center" vertical="top"/>
    </xf>
    <xf numFmtId="0" fontId="4" fillId="5" borderId="22" xfId="0" applyFont="1" applyFill="1" applyBorder="1" applyAlignment="1">
      <alignment horizontal="center" vertical="top"/>
    </xf>
    <xf numFmtId="0" fontId="4" fillId="5" borderId="30" xfId="0" applyFont="1" applyFill="1" applyBorder="1" applyAlignment="1">
      <alignment horizontal="center" vertical="top"/>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49" fontId="0" fillId="2" borderId="17" xfId="0" applyNumberFormat="1" applyFill="1" applyBorder="1" applyAlignment="1">
      <alignment horizontal="center" vertical="center"/>
    </xf>
    <xf numFmtId="49" fontId="0" fillId="2" borderId="14" xfId="0" applyNumberFormat="1" applyFill="1" applyBorder="1" applyAlignment="1">
      <alignment horizontal="center" vertical="center"/>
    </xf>
    <xf numFmtId="49" fontId="0" fillId="2" borderId="18" xfId="0" applyNumberFormat="1" applyFill="1" applyBorder="1" applyAlignment="1">
      <alignment horizontal="center" vertical="center"/>
    </xf>
    <xf numFmtId="0" fontId="3" fillId="2" borderId="15" xfId="0" applyFont="1" applyFill="1" applyBorder="1" applyAlignment="1">
      <alignment horizontal="center" vertical="center" wrapText="1"/>
    </xf>
  </cellXfs>
  <cellStyles count="6">
    <cellStyle name="Moeda" xfId="1" builtinId="4"/>
    <cellStyle name="Normal" xfId="0" builtinId="0"/>
    <cellStyle name="Normal 2" xfId="3" xr:uid="{F483026F-B66B-4DD8-A583-A9495DF00737}"/>
    <cellStyle name="Porcentagem 2" xfId="2" xr:uid="{1742C62B-DC66-4D0E-A960-53BC2637AFAF}"/>
    <cellStyle name="Porcentagem 3" xfId="4" xr:uid="{E5934621-54FB-4B4F-9F25-4C0BE243D04C}"/>
    <cellStyle name="Vírgula 2" xfId="5" xr:uid="{A2421FB8-C700-442B-AB3D-724403BBB4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101054</xdr:colOff>
      <xdr:row>834</xdr:row>
      <xdr:rowOff>86481</xdr:rowOff>
    </xdr:from>
    <xdr:to>
      <xdr:col>3</xdr:col>
      <xdr:colOff>1602921</xdr:colOff>
      <xdr:row>835</xdr:row>
      <xdr:rowOff>674310</xdr:rowOff>
    </xdr:to>
    <xdr:sp macro="" textlink="">
      <xdr:nvSpPr>
        <xdr:cNvPr id="2" name="CaixaDeTexto 1">
          <a:extLst>
            <a:ext uri="{FF2B5EF4-FFF2-40B4-BE49-F238E27FC236}">
              <a16:creationId xmlns:a16="http://schemas.microsoft.com/office/drawing/2014/main" id="{1641C1B4-A4E4-45F6-A970-11E9ACE7B5DC}"/>
            </a:ext>
          </a:extLst>
        </xdr:cNvPr>
        <xdr:cNvSpPr txBox="1"/>
      </xdr:nvSpPr>
      <xdr:spPr>
        <a:xfrm>
          <a:off x="101054" y="210005575"/>
          <a:ext cx="3525930" cy="7545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a:solidFill>
                <a:schemeClr val="tx1"/>
              </a:solidFill>
              <a:latin typeface="Times New Roman" panose="02020603050405020304" pitchFamily="18" charset="0"/>
              <a:cs typeface="Times New Roman" panose="02020603050405020304" pitchFamily="18" charset="0"/>
            </a:rPr>
            <a:t>_____________________________</a:t>
          </a:r>
        </a:p>
        <a:p>
          <a:pPr algn="ctr"/>
          <a:r>
            <a:rPr lang="pt-BR" sz="1000">
              <a:solidFill>
                <a:schemeClr val="tx1"/>
              </a:solidFill>
              <a:latin typeface="Times New Roman" panose="02020603050405020304" pitchFamily="18" charset="0"/>
              <a:cs typeface="Times New Roman" panose="02020603050405020304" pitchFamily="18" charset="0"/>
            </a:rPr>
            <a:t>ARTHUR ZANDONAI JOHANN</a:t>
          </a:r>
          <a:endParaRPr lang="pt-BR" sz="1000" baseline="0">
            <a:solidFill>
              <a:schemeClr val="tx1"/>
            </a:solidFill>
            <a:latin typeface="Times New Roman" panose="02020603050405020304" pitchFamily="18" charset="0"/>
            <a:cs typeface="Times New Roman" panose="02020603050405020304" pitchFamily="18" charset="0"/>
          </a:endParaRPr>
        </a:p>
        <a:p>
          <a:pPr algn="ctr"/>
          <a:r>
            <a:rPr lang="pt-BR" sz="1000" baseline="0">
              <a:solidFill>
                <a:schemeClr val="tx1"/>
              </a:solidFill>
              <a:latin typeface="Times New Roman" panose="02020603050405020304" pitchFamily="18" charset="0"/>
              <a:cs typeface="Times New Roman" panose="02020603050405020304" pitchFamily="18" charset="0"/>
            </a:rPr>
            <a:t>ARQUITETO E URBANISTA</a:t>
          </a:r>
        </a:p>
        <a:p>
          <a:pPr algn="ctr"/>
          <a:r>
            <a:rPr lang="pt-BR" sz="1000" baseline="0">
              <a:solidFill>
                <a:schemeClr val="tx1"/>
              </a:solidFill>
              <a:latin typeface="Times New Roman" panose="02020603050405020304" pitchFamily="18" charset="0"/>
              <a:cs typeface="Times New Roman" panose="02020603050405020304" pitchFamily="18" charset="0"/>
            </a:rPr>
            <a:t>CAU/SC A253051-1</a:t>
          </a:r>
          <a:endParaRPr lang="pt-BR"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80843</xdr:colOff>
      <xdr:row>0</xdr:row>
      <xdr:rowOff>27214</xdr:rowOff>
    </xdr:from>
    <xdr:to>
      <xdr:col>1</xdr:col>
      <xdr:colOff>296788</xdr:colOff>
      <xdr:row>2</xdr:row>
      <xdr:rowOff>17105</xdr:rowOff>
    </xdr:to>
    <xdr:pic>
      <xdr:nvPicPr>
        <xdr:cNvPr id="3" name="Imagem 2">
          <a:extLst>
            <a:ext uri="{FF2B5EF4-FFF2-40B4-BE49-F238E27FC236}">
              <a16:creationId xmlns:a16="http://schemas.microsoft.com/office/drawing/2014/main" id="{E7195010-0036-4D2A-B97A-84089F959C9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43" y="27214"/>
          <a:ext cx="701720" cy="770941"/>
        </a:xfrm>
        <a:prstGeom prst="rect">
          <a:avLst/>
        </a:prstGeom>
        <a:noFill/>
        <a:effectLst>
          <a:outerShdw blurRad="50800" dist="38100" dir="5400000" algn="t" rotWithShape="0">
            <a:prstClr val="black">
              <a:alpha val="40000"/>
            </a:prstClr>
          </a:outerShdw>
        </a:effectLst>
      </xdr:spPr>
    </xdr:pic>
    <xdr:clientData/>
  </xdr:twoCellAnchor>
  <xdr:twoCellAnchor>
    <xdr:from>
      <xdr:col>4</xdr:col>
      <xdr:colOff>360589</xdr:colOff>
      <xdr:row>834</xdr:row>
      <xdr:rowOff>13760</xdr:rowOff>
    </xdr:from>
    <xdr:to>
      <xdr:col>8</xdr:col>
      <xdr:colOff>529317</xdr:colOff>
      <xdr:row>835</xdr:row>
      <xdr:rowOff>520546</xdr:rowOff>
    </xdr:to>
    <xdr:sp macro="" textlink="">
      <xdr:nvSpPr>
        <xdr:cNvPr id="4" name="CaixaDeTexto 3">
          <a:extLst>
            <a:ext uri="{FF2B5EF4-FFF2-40B4-BE49-F238E27FC236}">
              <a16:creationId xmlns:a16="http://schemas.microsoft.com/office/drawing/2014/main" id="{A724DC23-B1FA-4258-BE13-F5C70F0141F0}"/>
            </a:ext>
          </a:extLst>
        </xdr:cNvPr>
        <xdr:cNvSpPr txBox="1"/>
      </xdr:nvSpPr>
      <xdr:spPr>
        <a:xfrm>
          <a:off x="10657114" y="121809935"/>
          <a:ext cx="2788103" cy="668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100">
              <a:solidFill>
                <a:schemeClr val="dk1"/>
              </a:solidFill>
              <a:effectLst/>
              <a:latin typeface="+mn-lt"/>
              <a:ea typeface="+mn-ea"/>
              <a:cs typeface="+mn-cs"/>
            </a:rPr>
            <a:t>_______________________</a:t>
          </a:r>
        </a:p>
        <a:p>
          <a:pPr algn="ctr"/>
          <a:r>
            <a:rPr lang="pt-BR" sz="1100" b="1">
              <a:solidFill>
                <a:schemeClr val="dk1"/>
              </a:solidFill>
              <a:effectLst/>
              <a:latin typeface="+mn-lt"/>
              <a:ea typeface="+mn-ea"/>
              <a:cs typeface="+mn-cs"/>
            </a:rPr>
            <a:t>JAKSOM NATAL CASTELLI</a:t>
          </a:r>
          <a:endParaRPr lang="pt-BR" sz="1100">
            <a:solidFill>
              <a:schemeClr val="dk1"/>
            </a:solidFill>
            <a:effectLst/>
            <a:latin typeface="+mn-lt"/>
            <a:ea typeface="+mn-ea"/>
            <a:cs typeface="+mn-cs"/>
          </a:endParaRPr>
        </a:p>
        <a:p>
          <a:pPr algn="ctr"/>
          <a:r>
            <a:rPr lang="pt-BR" sz="1100">
              <a:solidFill>
                <a:schemeClr val="dk1"/>
              </a:solidFill>
              <a:effectLst/>
              <a:latin typeface="+mn-lt"/>
              <a:ea typeface="+mn-ea"/>
              <a:cs typeface="+mn-cs"/>
            </a:rPr>
            <a:t>Prefeito Municipal</a:t>
          </a:r>
        </a:p>
        <a:p>
          <a:pPr algn="ctr"/>
          <a:endParaRPr lang="pt-BR" sz="1000">
            <a:latin typeface="Times New Roman" panose="02020603050405020304" pitchFamily="18" charset="0"/>
            <a:cs typeface="Times New Roman" panose="02020603050405020304" pitchFamily="18" charset="0"/>
          </a:endParaRPr>
        </a:p>
      </xdr:txBody>
    </xdr:sp>
    <xdr:clientData/>
  </xdr:twoCellAnchor>
  <xdr:twoCellAnchor>
    <xdr:from>
      <xdr:col>3</xdr:col>
      <xdr:colOff>4832597</xdr:colOff>
      <xdr:row>834</xdr:row>
      <xdr:rowOff>74576</xdr:rowOff>
    </xdr:from>
    <xdr:to>
      <xdr:col>3</xdr:col>
      <xdr:colOff>7252383</xdr:colOff>
      <xdr:row>835</xdr:row>
      <xdr:rowOff>666750</xdr:rowOff>
    </xdr:to>
    <xdr:sp macro="" textlink="">
      <xdr:nvSpPr>
        <xdr:cNvPr id="5" name="CaixaDeTexto 4">
          <a:extLst>
            <a:ext uri="{FF2B5EF4-FFF2-40B4-BE49-F238E27FC236}">
              <a16:creationId xmlns:a16="http://schemas.microsoft.com/office/drawing/2014/main" id="{C214AB2A-9E57-4EFE-9E09-1427A991FA91}"/>
            </a:ext>
          </a:extLst>
        </xdr:cNvPr>
        <xdr:cNvSpPr txBox="1"/>
      </xdr:nvSpPr>
      <xdr:spPr>
        <a:xfrm>
          <a:off x="6856660" y="209993670"/>
          <a:ext cx="2419786" cy="7588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a:solidFill>
                <a:schemeClr val="dk1"/>
              </a:solidFill>
              <a:effectLst/>
              <a:latin typeface="Times New Roman" panose="02020603050405020304" pitchFamily="18" charset="0"/>
              <a:ea typeface="+mn-ea"/>
              <a:cs typeface="Times New Roman" panose="02020603050405020304" pitchFamily="18" charset="0"/>
            </a:rPr>
            <a:t>______________________________</a:t>
          </a:r>
          <a:endParaRPr lang="pt-BR" sz="1000">
            <a:effectLst/>
            <a:latin typeface="Times New Roman" panose="02020603050405020304" pitchFamily="18" charset="0"/>
            <a:cs typeface="Times New Roman" panose="02020603050405020304" pitchFamily="18" charset="0"/>
          </a:endParaRPr>
        </a:p>
        <a:p>
          <a:pPr algn="ctr"/>
          <a:r>
            <a:rPr lang="pt-BR" sz="1000">
              <a:solidFill>
                <a:schemeClr val="dk1"/>
              </a:solidFill>
              <a:effectLst/>
              <a:latin typeface="Times New Roman" panose="02020603050405020304" pitchFamily="18" charset="0"/>
              <a:ea typeface="+mn-ea"/>
              <a:cs typeface="Times New Roman" panose="02020603050405020304" pitchFamily="18" charset="0"/>
            </a:rPr>
            <a:t>ANDERSON BATISTI</a:t>
          </a:r>
        </a:p>
        <a:p>
          <a:pPr algn="ctr"/>
          <a:r>
            <a:rPr lang="pt-BR" sz="1000">
              <a:solidFill>
                <a:schemeClr val="dk1"/>
              </a:solidFill>
              <a:effectLst/>
              <a:latin typeface="Times New Roman" panose="02020603050405020304" pitchFamily="18" charset="0"/>
              <a:ea typeface="+mn-ea"/>
              <a:cs typeface="Times New Roman" panose="02020603050405020304" pitchFamily="18" charset="0"/>
            </a:rPr>
            <a:t>ENGENHEIRO CIVIL</a:t>
          </a:r>
          <a:endParaRPr lang="pt-BR" sz="1000">
            <a:effectLst/>
            <a:latin typeface="Times New Roman" panose="02020603050405020304" pitchFamily="18" charset="0"/>
            <a:cs typeface="Times New Roman" panose="02020603050405020304" pitchFamily="18" charset="0"/>
          </a:endParaRPr>
        </a:p>
        <a:p>
          <a:pPr algn="ctr"/>
          <a:r>
            <a:rPr lang="pt-BR" sz="1000" baseline="0">
              <a:solidFill>
                <a:schemeClr val="dk1"/>
              </a:solidFill>
              <a:effectLst/>
              <a:latin typeface="Times New Roman" panose="02020603050405020304" pitchFamily="18" charset="0"/>
              <a:ea typeface="+mn-ea"/>
              <a:cs typeface="Times New Roman" panose="02020603050405020304" pitchFamily="18" charset="0"/>
            </a:rPr>
            <a:t>CREA/SC 164.139-0</a:t>
          </a:r>
          <a:endParaRPr lang="pt-BR" sz="1000">
            <a:effectLst/>
            <a:latin typeface="Times New Roman" panose="02020603050405020304" pitchFamily="18" charset="0"/>
            <a:cs typeface="Times New Roman" panose="02020603050405020304" pitchFamily="18" charset="0"/>
          </a:endParaRPr>
        </a:p>
      </xdr:txBody>
    </xdr:sp>
    <xdr:clientData/>
  </xdr:twoCellAnchor>
  <xdr:twoCellAnchor>
    <xdr:from>
      <xdr:col>3</xdr:col>
      <xdr:colOff>1708397</xdr:colOff>
      <xdr:row>834</xdr:row>
      <xdr:rowOff>74576</xdr:rowOff>
    </xdr:from>
    <xdr:to>
      <xdr:col>3</xdr:col>
      <xdr:colOff>4128183</xdr:colOff>
      <xdr:row>835</xdr:row>
      <xdr:rowOff>619125</xdr:rowOff>
    </xdr:to>
    <xdr:sp macro="" textlink="">
      <xdr:nvSpPr>
        <xdr:cNvPr id="6" name="CaixaDeTexto 5">
          <a:extLst>
            <a:ext uri="{FF2B5EF4-FFF2-40B4-BE49-F238E27FC236}">
              <a16:creationId xmlns:a16="http://schemas.microsoft.com/office/drawing/2014/main" id="{8D42F23F-E262-476E-A8F6-2D28B388D5C3}"/>
            </a:ext>
          </a:extLst>
        </xdr:cNvPr>
        <xdr:cNvSpPr txBox="1"/>
      </xdr:nvSpPr>
      <xdr:spPr>
        <a:xfrm>
          <a:off x="3732460" y="209993670"/>
          <a:ext cx="2419786" cy="711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a:solidFill>
                <a:schemeClr val="dk1"/>
              </a:solidFill>
              <a:effectLst/>
              <a:latin typeface="Times New Roman" panose="02020603050405020304" pitchFamily="18" charset="0"/>
              <a:ea typeface="+mn-ea"/>
              <a:cs typeface="Times New Roman" panose="02020603050405020304" pitchFamily="18" charset="0"/>
            </a:rPr>
            <a:t>______________________________</a:t>
          </a:r>
          <a:endParaRPr lang="pt-BR" sz="1000">
            <a:effectLst/>
            <a:latin typeface="Times New Roman" panose="02020603050405020304" pitchFamily="18" charset="0"/>
            <a:cs typeface="Times New Roman" panose="02020603050405020304" pitchFamily="18" charset="0"/>
          </a:endParaRPr>
        </a:p>
        <a:p>
          <a:pPr algn="ctr"/>
          <a:r>
            <a:rPr lang="pt-BR" sz="1000">
              <a:solidFill>
                <a:schemeClr val="dk1"/>
              </a:solidFill>
              <a:effectLst/>
              <a:latin typeface="Times New Roman" panose="02020603050405020304" pitchFamily="18" charset="0"/>
              <a:ea typeface="+mn-ea"/>
              <a:cs typeface="Times New Roman" panose="02020603050405020304" pitchFamily="18" charset="0"/>
            </a:rPr>
            <a:t>CHARLAN</a:t>
          </a:r>
          <a:r>
            <a:rPr lang="pt-BR" sz="1000" baseline="0">
              <a:solidFill>
                <a:schemeClr val="dk1"/>
              </a:solidFill>
              <a:effectLst/>
              <a:latin typeface="Times New Roman" panose="02020603050405020304" pitchFamily="18" charset="0"/>
              <a:ea typeface="+mn-ea"/>
              <a:cs typeface="Times New Roman" panose="02020603050405020304" pitchFamily="18" charset="0"/>
            </a:rPr>
            <a:t> SMANIOTTO</a:t>
          </a:r>
          <a:endParaRPr lang="pt-BR" sz="1000">
            <a:solidFill>
              <a:schemeClr val="dk1"/>
            </a:solidFill>
            <a:effectLst/>
            <a:latin typeface="Times New Roman" panose="02020603050405020304" pitchFamily="18" charset="0"/>
            <a:ea typeface="+mn-ea"/>
            <a:cs typeface="Times New Roman" panose="02020603050405020304" pitchFamily="18" charset="0"/>
          </a:endParaRPr>
        </a:p>
        <a:p>
          <a:pPr algn="ctr"/>
          <a:r>
            <a:rPr lang="pt-BR" sz="1000">
              <a:solidFill>
                <a:schemeClr val="dk1"/>
              </a:solidFill>
              <a:effectLst/>
              <a:latin typeface="Times New Roman" panose="02020603050405020304" pitchFamily="18" charset="0"/>
              <a:ea typeface="+mn-ea"/>
              <a:cs typeface="Times New Roman" panose="02020603050405020304" pitchFamily="18" charset="0"/>
            </a:rPr>
            <a:t>ENGENHEIRO ELETRICISTA</a:t>
          </a:r>
        </a:p>
        <a:p>
          <a:pPr algn="ctr"/>
          <a:r>
            <a:rPr lang="pt-BR" sz="1000">
              <a:solidFill>
                <a:schemeClr val="dk1"/>
              </a:solidFill>
              <a:effectLst/>
              <a:latin typeface="Times New Roman" panose="02020603050405020304" pitchFamily="18" charset="0"/>
              <a:ea typeface="+mn-ea"/>
              <a:cs typeface="Times New Roman" panose="02020603050405020304" pitchFamily="18" charset="0"/>
            </a:rPr>
            <a:t>CREA/SC 127.695-8</a:t>
          </a:r>
          <a:endParaRPr lang="pt-BR" sz="1000">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4179794</xdr:colOff>
      <xdr:row>39</xdr:row>
      <xdr:rowOff>155199</xdr:rowOff>
    </xdr:from>
    <xdr:to>
      <xdr:col>3</xdr:col>
      <xdr:colOff>6533029</xdr:colOff>
      <xdr:row>40</xdr:row>
      <xdr:rowOff>524995</xdr:rowOff>
    </xdr:to>
    <xdr:sp macro="" textlink="">
      <xdr:nvSpPr>
        <xdr:cNvPr id="2" name="CaixaDeTexto 1">
          <a:extLst>
            <a:ext uri="{FF2B5EF4-FFF2-40B4-BE49-F238E27FC236}">
              <a16:creationId xmlns:a16="http://schemas.microsoft.com/office/drawing/2014/main" id="{C7B0FCA6-CE16-4A4F-AE10-A73DCB5D36D7}"/>
            </a:ext>
          </a:extLst>
        </xdr:cNvPr>
        <xdr:cNvSpPr txBox="1"/>
      </xdr:nvSpPr>
      <xdr:spPr>
        <a:xfrm>
          <a:off x="5122769" y="5603499"/>
          <a:ext cx="560" cy="1697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a:latin typeface="Times New Roman" panose="02020603050405020304" pitchFamily="18" charset="0"/>
              <a:cs typeface="Times New Roman" panose="02020603050405020304" pitchFamily="18" charset="0"/>
            </a:rPr>
            <a:t>______________________________</a:t>
          </a:r>
        </a:p>
        <a:p>
          <a:pPr algn="ctr"/>
          <a:r>
            <a:rPr lang="pt-BR" sz="1000">
              <a:latin typeface="Times New Roman" panose="02020603050405020304" pitchFamily="18" charset="0"/>
              <a:cs typeface="Times New Roman" panose="02020603050405020304" pitchFamily="18" charset="0"/>
            </a:rPr>
            <a:t>ADRIEL</a:t>
          </a:r>
          <a:r>
            <a:rPr lang="pt-BR" sz="1000" baseline="0">
              <a:latin typeface="Times New Roman" panose="02020603050405020304" pitchFamily="18" charset="0"/>
              <a:cs typeface="Times New Roman" panose="02020603050405020304" pitchFamily="18" charset="0"/>
            </a:rPr>
            <a:t> STUCHI</a:t>
          </a:r>
        </a:p>
        <a:p>
          <a:pPr algn="ctr"/>
          <a:r>
            <a:rPr lang="pt-BR" sz="1000" baseline="0">
              <a:latin typeface="Times New Roman" panose="02020603050405020304" pitchFamily="18" charset="0"/>
              <a:cs typeface="Times New Roman" panose="02020603050405020304" pitchFamily="18" charset="0"/>
            </a:rPr>
            <a:t>ARQUITETO E URBANISTA</a:t>
          </a:r>
        </a:p>
        <a:p>
          <a:pPr algn="ctr"/>
          <a:r>
            <a:rPr lang="pt-BR" sz="1000" baseline="0">
              <a:latin typeface="Times New Roman" panose="02020603050405020304" pitchFamily="18" charset="0"/>
              <a:cs typeface="Times New Roman" panose="02020603050405020304" pitchFamily="18" charset="0"/>
            </a:rPr>
            <a:t>CAU/SC A147216-0</a:t>
          </a:r>
          <a:endParaRPr lang="pt-BR" sz="1000">
            <a:latin typeface="Times New Roman" panose="02020603050405020304" pitchFamily="18" charset="0"/>
            <a:cs typeface="Times New Roman" panose="02020603050405020304" pitchFamily="18" charset="0"/>
          </a:endParaRPr>
        </a:p>
      </xdr:txBody>
    </xdr:sp>
    <xdr:clientData/>
  </xdr:twoCellAnchor>
  <xdr:twoCellAnchor>
    <xdr:from>
      <xdr:col>6</xdr:col>
      <xdr:colOff>448481</xdr:colOff>
      <xdr:row>38</xdr:row>
      <xdr:rowOff>272499</xdr:rowOff>
    </xdr:from>
    <xdr:to>
      <xdr:col>10</xdr:col>
      <xdr:colOff>515592</xdr:colOff>
      <xdr:row>42</xdr:row>
      <xdr:rowOff>266700</xdr:rowOff>
    </xdr:to>
    <xdr:sp macro="" textlink="">
      <xdr:nvSpPr>
        <xdr:cNvPr id="3" name="CaixaDeTexto 2">
          <a:extLst>
            <a:ext uri="{FF2B5EF4-FFF2-40B4-BE49-F238E27FC236}">
              <a16:creationId xmlns:a16="http://schemas.microsoft.com/office/drawing/2014/main" id="{84C8E0C8-7327-4E45-8A32-2C5FCCF3CBEC}"/>
            </a:ext>
          </a:extLst>
        </xdr:cNvPr>
        <xdr:cNvSpPr txBox="1"/>
      </xdr:nvSpPr>
      <xdr:spPr>
        <a:xfrm>
          <a:off x="6582581" y="6863799"/>
          <a:ext cx="2419786" cy="775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900">
              <a:solidFill>
                <a:schemeClr val="dk1"/>
              </a:solidFill>
              <a:effectLst/>
              <a:latin typeface="+mn-lt"/>
              <a:ea typeface="+mn-ea"/>
              <a:cs typeface="+mn-cs"/>
            </a:rPr>
            <a:t>______________________________</a:t>
          </a:r>
          <a:endParaRPr lang="pt-BR" sz="900">
            <a:effectLst/>
          </a:endParaRPr>
        </a:p>
        <a:p>
          <a:pPr algn="ctr"/>
          <a:r>
            <a:rPr lang="pt-BR" sz="900">
              <a:solidFill>
                <a:schemeClr val="dk1"/>
              </a:solidFill>
              <a:effectLst/>
              <a:latin typeface="+mn-lt"/>
              <a:ea typeface="+mn-ea"/>
              <a:cs typeface="+mn-cs"/>
            </a:rPr>
            <a:t>ARTHUR ZANDONAI JOHANN</a:t>
          </a:r>
        </a:p>
        <a:p>
          <a:pPr algn="ctr"/>
          <a:r>
            <a:rPr lang="pt-BR" sz="900">
              <a:solidFill>
                <a:schemeClr val="dk1"/>
              </a:solidFill>
              <a:effectLst/>
              <a:latin typeface="+mn-lt"/>
              <a:ea typeface="+mn-ea"/>
              <a:cs typeface="+mn-cs"/>
            </a:rPr>
            <a:t>ARQUITETO</a:t>
          </a:r>
          <a:r>
            <a:rPr lang="pt-BR" sz="900" baseline="0">
              <a:solidFill>
                <a:schemeClr val="dk1"/>
              </a:solidFill>
              <a:effectLst/>
              <a:latin typeface="+mn-lt"/>
              <a:ea typeface="+mn-ea"/>
              <a:cs typeface="+mn-cs"/>
            </a:rPr>
            <a:t> E URBANISTA</a:t>
          </a:r>
          <a:endParaRPr lang="pt-BR" sz="900">
            <a:effectLst/>
          </a:endParaRPr>
        </a:p>
        <a:p>
          <a:pPr algn="ctr"/>
          <a:r>
            <a:rPr lang="pt-BR" sz="900" baseline="0">
              <a:solidFill>
                <a:schemeClr val="dk1"/>
              </a:solidFill>
              <a:effectLst/>
              <a:latin typeface="+mn-lt"/>
              <a:ea typeface="+mn-ea"/>
              <a:cs typeface="+mn-cs"/>
            </a:rPr>
            <a:t>CAU/SC A253051-1</a:t>
          </a:r>
          <a:endParaRPr lang="pt-BR" sz="900">
            <a:effectLst/>
          </a:endParaRPr>
        </a:p>
      </xdr:txBody>
    </xdr:sp>
    <xdr:clientData/>
  </xdr:twoCellAnchor>
  <xdr:twoCellAnchor editAs="oneCell">
    <xdr:from>
      <xdr:col>0</xdr:col>
      <xdr:colOff>107673</xdr:colOff>
      <xdr:row>0</xdr:row>
      <xdr:rowOff>0</xdr:rowOff>
    </xdr:from>
    <xdr:to>
      <xdr:col>1</xdr:col>
      <xdr:colOff>215348</xdr:colOff>
      <xdr:row>1</xdr:row>
      <xdr:rowOff>24848</xdr:rowOff>
    </xdr:to>
    <xdr:pic>
      <xdr:nvPicPr>
        <xdr:cNvPr id="4" name="Imagem 3">
          <a:extLst>
            <a:ext uri="{FF2B5EF4-FFF2-40B4-BE49-F238E27FC236}">
              <a16:creationId xmlns:a16="http://schemas.microsoft.com/office/drawing/2014/main" id="{204818FF-D794-4B1E-AC56-9DD91B29649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73" y="0"/>
          <a:ext cx="593450" cy="682073"/>
        </a:xfrm>
        <a:prstGeom prst="rect">
          <a:avLst/>
        </a:prstGeom>
        <a:noFill/>
        <a:effectLst>
          <a:outerShdw blurRad="50800" dist="38100" dir="5400000" algn="t" rotWithShape="0">
            <a:prstClr val="black">
              <a:alpha val="40000"/>
            </a:prstClr>
          </a:outerShdw>
        </a:effectLst>
      </xdr:spPr>
    </xdr:pic>
    <xdr:clientData/>
  </xdr:twoCellAnchor>
  <xdr:twoCellAnchor>
    <xdr:from>
      <xdr:col>12</xdr:col>
      <xdr:colOff>133349</xdr:colOff>
      <xdr:row>38</xdr:row>
      <xdr:rowOff>272499</xdr:rowOff>
    </xdr:from>
    <xdr:to>
      <xdr:col>17</xdr:col>
      <xdr:colOff>173934</xdr:colOff>
      <xdr:row>42</xdr:row>
      <xdr:rowOff>19051</xdr:rowOff>
    </xdr:to>
    <xdr:sp macro="" textlink="">
      <xdr:nvSpPr>
        <xdr:cNvPr id="5" name="CaixaDeTexto 4">
          <a:extLst>
            <a:ext uri="{FF2B5EF4-FFF2-40B4-BE49-F238E27FC236}">
              <a16:creationId xmlns:a16="http://schemas.microsoft.com/office/drawing/2014/main" id="{0AAF4DC1-9604-42B8-8ED2-36D2C73EB5A7}"/>
            </a:ext>
          </a:extLst>
        </xdr:cNvPr>
        <xdr:cNvSpPr txBox="1"/>
      </xdr:nvSpPr>
      <xdr:spPr>
        <a:xfrm>
          <a:off x="9772649" y="6863799"/>
          <a:ext cx="3145735" cy="527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900" b="0">
              <a:solidFill>
                <a:schemeClr val="dk1"/>
              </a:solidFill>
              <a:effectLst/>
              <a:latin typeface="+mn-lt"/>
              <a:ea typeface="+mn-ea"/>
              <a:cs typeface="+mn-cs"/>
            </a:rPr>
            <a:t>_____________________________</a:t>
          </a:r>
          <a:endParaRPr lang="pt-BR" sz="900" b="0">
            <a:effectLst/>
          </a:endParaRPr>
        </a:p>
        <a:p>
          <a:pPr algn="ctr"/>
          <a:r>
            <a:rPr lang="pt-BR" sz="900" b="0">
              <a:solidFill>
                <a:schemeClr val="dk1"/>
              </a:solidFill>
              <a:effectLst/>
              <a:latin typeface="+mn-lt"/>
              <a:ea typeface="+mn-ea"/>
              <a:cs typeface="+mn-cs"/>
            </a:rPr>
            <a:t>Jaksom</a:t>
          </a:r>
          <a:r>
            <a:rPr lang="pt-BR" sz="900" b="0" baseline="0">
              <a:solidFill>
                <a:schemeClr val="dk1"/>
              </a:solidFill>
              <a:effectLst/>
              <a:latin typeface="+mn-lt"/>
              <a:ea typeface="+mn-ea"/>
              <a:cs typeface="+mn-cs"/>
            </a:rPr>
            <a:t> Natal Castelli</a:t>
          </a:r>
          <a:endParaRPr lang="pt-BR" sz="900" b="0">
            <a:effectLst/>
          </a:endParaRPr>
        </a:p>
        <a:p>
          <a:pPr algn="ctr"/>
          <a:r>
            <a:rPr lang="pt-BR" sz="900" b="0">
              <a:solidFill>
                <a:schemeClr val="dk1"/>
              </a:solidFill>
              <a:effectLst/>
              <a:latin typeface="+mn-lt"/>
              <a:ea typeface="+mn-ea"/>
              <a:cs typeface="+mn-cs"/>
            </a:rPr>
            <a:t>Prefeito Municipal</a:t>
          </a:r>
          <a:endParaRPr lang="pt-BR" sz="900" b="0">
            <a:effectLst/>
          </a:endParaRPr>
        </a:p>
      </xdr:txBody>
    </xdr:sp>
    <xdr:clientData/>
  </xdr:twoCellAnchor>
  <xdr:twoCellAnchor>
    <xdr:from>
      <xdr:col>1</xdr:col>
      <xdr:colOff>2944031</xdr:colOff>
      <xdr:row>38</xdr:row>
      <xdr:rowOff>253449</xdr:rowOff>
    </xdr:from>
    <xdr:to>
      <xdr:col>5</xdr:col>
      <xdr:colOff>144117</xdr:colOff>
      <xdr:row>42</xdr:row>
      <xdr:rowOff>238125</xdr:rowOff>
    </xdr:to>
    <xdr:sp macro="" textlink="">
      <xdr:nvSpPr>
        <xdr:cNvPr id="6" name="CaixaDeTexto 5">
          <a:extLst>
            <a:ext uri="{FF2B5EF4-FFF2-40B4-BE49-F238E27FC236}">
              <a16:creationId xmlns:a16="http://schemas.microsoft.com/office/drawing/2014/main" id="{B669863A-E15E-46AF-A4DC-F8C75925CAEC}"/>
            </a:ext>
          </a:extLst>
        </xdr:cNvPr>
        <xdr:cNvSpPr txBox="1"/>
      </xdr:nvSpPr>
      <xdr:spPr>
        <a:xfrm>
          <a:off x="3429806" y="6844749"/>
          <a:ext cx="2419786" cy="765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900">
              <a:solidFill>
                <a:schemeClr val="dk1"/>
              </a:solidFill>
              <a:effectLst/>
              <a:latin typeface="+mn-lt"/>
              <a:ea typeface="+mn-ea"/>
              <a:cs typeface="+mn-cs"/>
            </a:rPr>
            <a:t>______________________________</a:t>
          </a:r>
          <a:endParaRPr lang="pt-BR" sz="900">
            <a:effectLst/>
          </a:endParaRPr>
        </a:p>
        <a:p>
          <a:pPr algn="ctr"/>
          <a:r>
            <a:rPr lang="pt-BR" sz="900">
              <a:solidFill>
                <a:schemeClr val="dk1"/>
              </a:solidFill>
              <a:effectLst/>
              <a:latin typeface="+mn-lt"/>
              <a:ea typeface="+mn-ea"/>
              <a:cs typeface="+mn-cs"/>
            </a:rPr>
            <a:t>ANDERSON BATISTI</a:t>
          </a:r>
        </a:p>
        <a:p>
          <a:pPr algn="ctr"/>
          <a:r>
            <a:rPr lang="pt-BR" sz="900">
              <a:solidFill>
                <a:schemeClr val="dk1"/>
              </a:solidFill>
              <a:effectLst/>
              <a:latin typeface="+mn-lt"/>
              <a:ea typeface="+mn-ea"/>
              <a:cs typeface="+mn-cs"/>
            </a:rPr>
            <a:t>ENGENHEIRO CIVIL</a:t>
          </a:r>
          <a:endParaRPr lang="pt-BR" sz="900">
            <a:effectLst/>
          </a:endParaRPr>
        </a:p>
        <a:p>
          <a:pPr algn="ctr"/>
          <a:r>
            <a:rPr lang="pt-BR" sz="900" baseline="0">
              <a:solidFill>
                <a:schemeClr val="dk1"/>
              </a:solidFill>
              <a:effectLst/>
              <a:latin typeface="+mn-lt"/>
              <a:ea typeface="+mn-ea"/>
              <a:cs typeface="+mn-cs"/>
            </a:rPr>
            <a:t>CREA/SC 164.139-0</a:t>
          </a:r>
          <a:endParaRPr lang="pt-BR" sz="900">
            <a:effectLst/>
          </a:endParaRPr>
        </a:p>
      </xdr:txBody>
    </xdr:sp>
    <xdr:clientData/>
  </xdr:twoCellAnchor>
  <xdr:twoCellAnchor>
    <xdr:from>
      <xdr:col>0</xdr:col>
      <xdr:colOff>305606</xdr:colOff>
      <xdr:row>38</xdr:row>
      <xdr:rowOff>253449</xdr:rowOff>
    </xdr:from>
    <xdr:to>
      <xdr:col>1</xdr:col>
      <xdr:colOff>2239617</xdr:colOff>
      <xdr:row>42</xdr:row>
      <xdr:rowOff>219075</xdr:rowOff>
    </xdr:to>
    <xdr:sp macro="" textlink="">
      <xdr:nvSpPr>
        <xdr:cNvPr id="7" name="CaixaDeTexto 6">
          <a:extLst>
            <a:ext uri="{FF2B5EF4-FFF2-40B4-BE49-F238E27FC236}">
              <a16:creationId xmlns:a16="http://schemas.microsoft.com/office/drawing/2014/main" id="{AA72492F-C596-40C0-9B00-7C516A60DDE5}"/>
            </a:ext>
          </a:extLst>
        </xdr:cNvPr>
        <xdr:cNvSpPr txBox="1"/>
      </xdr:nvSpPr>
      <xdr:spPr>
        <a:xfrm>
          <a:off x="305606" y="6844749"/>
          <a:ext cx="2419786" cy="746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900">
              <a:solidFill>
                <a:schemeClr val="dk1"/>
              </a:solidFill>
              <a:effectLst/>
              <a:latin typeface="+mn-lt"/>
              <a:ea typeface="+mn-ea"/>
              <a:cs typeface="+mn-cs"/>
            </a:rPr>
            <a:t>______________________________</a:t>
          </a:r>
          <a:endParaRPr lang="pt-BR" sz="900">
            <a:effectLst/>
          </a:endParaRPr>
        </a:p>
        <a:p>
          <a:pPr algn="ctr"/>
          <a:r>
            <a:rPr lang="pt-BR" sz="900">
              <a:solidFill>
                <a:schemeClr val="dk1"/>
              </a:solidFill>
              <a:effectLst/>
              <a:latin typeface="+mn-lt"/>
              <a:ea typeface="+mn-ea"/>
              <a:cs typeface="+mn-cs"/>
            </a:rPr>
            <a:t>CHARLAN</a:t>
          </a:r>
          <a:r>
            <a:rPr lang="pt-BR" sz="900" baseline="0">
              <a:solidFill>
                <a:schemeClr val="dk1"/>
              </a:solidFill>
              <a:effectLst/>
              <a:latin typeface="+mn-lt"/>
              <a:ea typeface="+mn-ea"/>
              <a:cs typeface="+mn-cs"/>
            </a:rPr>
            <a:t> SMANIOTTO</a:t>
          </a:r>
          <a:endParaRPr lang="pt-BR" sz="900">
            <a:solidFill>
              <a:schemeClr val="dk1"/>
            </a:solidFill>
            <a:effectLst/>
            <a:latin typeface="+mn-lt"/>
            <a:ea typeface="+mn-ea"/>
            <a:cs typeface="+mn-cs"/>
          </a:endParaRPr>
        </a:p>
        <a:p>
          <a:pPr algn="ctr"/>
          <a:r>
            <a:rPr lang="pt-BR" sz="900">
              <a:solidFill>
                <a:schemeClr val="dk1"/>
              </a:solidFill>
              <a:effectLst/>
              <a:latin typeface="+mn-lt"/>
              <a:ea typeface="+mn-ea"/>
              <a:cs typeface="+mn-cs"/>
            </a:rPr>
            <a:t>ENGENHEIRO ELETRICISTA</a:t>
          </a:r>
        </a:p>
        <a:p>
          <a:pPr algn="ctr"/>
          <a:r>
            <a:rPr lang="pt-BR" sz="900">
              <a:solidFill>
                <a:schemeClr val="dk1"/>
              </a:solidFill>
              <a:effectLst/>
              <a:latin typeface="+mn-lt"/>
              <a:ea typeface="+mn-ea"/>
              <a:cs typeface="+mn-cs"/>
            </a:rPr>
            <a:t>CREA/SC 127.695-8</a:t>
          </a:r>
          <a:endParaRPr lang="pt-BR" sz="9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ivelto\ARQUIVOS%20REDE2\Projetos%202025\S&#195;O%20LOUREN&#199;O%20DO%20OESTE\CEIM%20CORA%20CORALINA%20-%20PROJETOS%20COMPLEMENTARES\OR&#199;AMENTO\Orcamento_Reforma_e_ampliacao_Cora_Coralin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livelto\Projetos%202019\NOVO%20HORIZONTE\PAV.%20ASF.%20RUA%20CASTELO%20BRANCO%20-%20EULIVIO%20PASTRE%20-%20REMO&#199;&#195;O%20PROFUNDA\PLANILHA%20M&#218;LTIPLA%20V3.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enharia3/Documents/NEXTCLOUD/QBO_PROJETOS/QBO_ANDAMENTO/REFORMA%20PREFEITURA/CHARLAN/OR&#199;AMENTO/OR&#199;AMENTO/2025.07.03_ORC_Reforma%20Prefeitura_ELE+PPCI_R0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OR&#199;AMENTO%20GIN&#193;SIO%20DE%20ESPORTES%20REFOR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 val="PO-PLE"/>
      <sheetName val="CFF-PLE"/>
      <sheetName val="PO-BM"/>
      <sheetName val="CFF-BM"/>
    </sheetNames>
    <sheetDataSet>
      <sheetData sheetId="0"/>
      <sheetData sheetId="1"/>
      <sheetData sheetId="2">
        <row r="18">
          <cell r="C18" t="str">
            <v>DESONERADO</v>
          </cell>
        </row>
        <row r="19">
          <cell r="D19"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 val="PLANILHA MÚLTIPLA V3.0.4"/>
    </sheetNames>
    <sheetDataSet>
      <sheetData sheetId="0" refreshError="1"/>
      <sheetData sheetId="1"/>
      <sheetData sheetId="2" refreshError="1"/>
      <sheetData sheetId="3">
        <row r="138">
          <cell r="A138" t="str">
            <v>(SELECIONAR)</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 val="PO-PLE"/>
      <sheetName val="CFF-PLE"/>
      <sheetName val="PO-BM"/>
      <sheetName val="CFF-BM"/>
    </sheetNames>
    <sheetDataSet>
      <sheetData sheetId="0" refreshError="1"/>
      <sheetData sheetId="1" refreshError="1"/>
      <sheetData sheetId="2">
        <row r="3">
          <cell r="AQ3" t="str">
            <v>%CT</v>
          </cell>
        </row>
        <row r="4">
          <cell r="AQ4" t="str">
            <v>°C</v>
          </cell>
        </row>
        <row r="5">
          <cell r="AQ5" t="str">
            <v>°F</v>
          </cell>
        </row>
        <row r="6">
          <cell r="AQ6" t="str">
            <v>100M</v>
          </cell>
        </row>
        <row r="7">
          <cell r="AQ7" t="str">
            <v>18L</v>
          </cell>
        </row>
        <row r="8">
          <cell r="AQ8" t="str">
            <v>200KG</v>
          </cell>
        </row>
        <row r="9">
          <cell r="AQ9" t="str">
            <v>250G</v>
          </cell>
        </row>
        <row r="10">
          <cell r="AQ10" t="str">
            <v>310ML</v>
          </cell>
        </row>
        <row r="11">
          <cell r="AQ11" t="str">
            <v>50KG</v>
          </cell>
        </row>
        <row r="12">
          <cell r="AQ12" t="str">
            <v>A</v>
          </cell>
        </row>
        <row r="13">
          <cell r="AQ13" t="str">
            <v>ACA/ACC</v>
          </cell>
        </row>
        <row r="14">
          <cell r="AQ14" t="str">
            <v>AH</v>
          </cell>
        </row>
        <row r="15">
          <cell r="AQ15" t="str">
            <v>AH/H/V</v>
          </cell>
        </row>
        <row r="16">
          <cell r="AQ16" t="str">
            <v>AM</v>
          </cell>
        </row>
        <row r="17">
          <cell r="AQ17" t="str">
            <v>AM0/4ML</v>
          </cell>
        </row>
        <row r="18">
          <cell r="AQ18" t="str">
            <v>AM0/5ML</v>
          </cell>
        </row>
        <row r="19">
          <cell r="AQ19" t="str">
            <v>AM1/5ML</v>
          </cell>
        </row>
        <row r="20">
          <cell r="AQ20" t="str">
            <v>AM10ML</v>
          </cell>
        </row>
        <row r="21">
          <cell r="AQ21" t="str">
            <v>AM1ML</v>
          </cell>
        </row>
        <row r="22">
          <cell r="AQ22" t="str">
            <v>AM2/5ML</v>
          </cell>
        </row>
        <row r="23">
          <cell r="AQ23" t="str">
            <v>AM2ML</v>
          </cell>
        </row>
        <row r="24">
          <cell r="AQ24" t="str">
            <v>AM3ML</v>
          </cell>
        </row>
        <row r="25">
          <cell r="AQ25" t="str">
            <v>AM4ML</v>
          </cell>
        </row>
        <row r="26">
          <cell r="AQ26" t="str">
            <v>AM5ML</v>
          </cell>
        </row>
        <row r="27">
          <cell r="AQ27" t="str">
            <v>AM6ML</v>
          </cell>
        </row>
        <row r="28">
          <cell r="AQ28" t="str">
            <v>AM7ML</v>
          </cell>
        </row>
        <row r="29">
          <cell r="AQ29" t="str">
            <v>ANO</v>
          </cell>
        </row>
        <row r="30">
          <cell r="AQ30" t="str">
            <v>ANOS</v>
          </cell>
        </row>
        <row r="31">
          <cell r="AQ31" t="str">
            <v>ARR</v>
          </cell>
        </row>
        <row r="32">
          <cell r="AQ32" t="str">
            <v>AWG</v>
          </cell>
        </row>
        <row r="33">
          <cell r="AQ33" t="str">
            <v>BAR</v>
          </cell>
        </row>
        <row r="34">
          <cell r="AQ34" t="str">
            <v>BAR.</v>
          </cell>
        </row>
        <row r="35">
          <cell r="AQ35" t="str">
            <v>BD</v>
          </cell>
        </row>
        <row r="36">
          <cell r="AQ36" t="str">
            <v>BIS</v>
          </cell>
        </row>
        <row r="37">
          <cell r="AQ37" t="str">
            <v>BIS/GL</v>
          </cell>
        </row>
        <row r="38">
          <cell r="AQ38" t="str">
            <v>BIS1/65G</v>
          </cell>
        </row>
        <row r="39">
          <cell r="AQ39" t="str">
            <v>BIS1/8G</v>
          </cell>
        </row>
        <row r="40">
          <cell r="AQ40" t="str">
            <v>BIS100G</v>
          </cell>
        </row>
        <row r="41">
          <cell r="AQ41" t="str">
            <v>BIS10G</v>
          </cell>
        </row>
        <row r="42">
          <cell r="AQ42" t="str">
            <v>BIS135G</v>
          </cell>
        </row>
        <row r="43">
          <cell r="AQ43" t="str">
            <v>BIS13G</v>
          </cell>
        </row>
        <row r="44">
          <cell r="AQ44" t="str">
            <v>BIS14G</v>
          </cell>
        </row>
        <row r="45">
          <cell r="AQ45" t="str">
            <v>BIS15G</v>
          </cell>
        </row>
        <row r="46">
          <cell r="AQ46" t="str">
            <v>BIS1G</v>
          </cell>
        </row>
        <row r="47">
          <cell r="AQ47" t="str">
            <v>BIS20G</v>
          </cell>
        </row>
        <row r="48">
          <cell r="AQ48" t="str">
            <v>BIS25G</v>
          </cell>
        </row>
        <row r="49">
          <cell r="AQ49" t="str">
            <v>BIS28/8G</v>
          </cell>
        </row>
        <row r="50">
          <cell r="AQ50" t="str">
            <v>BIS28G</v>
          </cell>
        </row>
        <row r="51">
          <cell r="AQ51" t="str">
            <v>BIS2G</v>
          </cell>
        </row>
        <row r="52">
          <cell r="AQ52" t="str">
            <v>BIS3/5G</v>
          </cell>
        </row>
        <row r="53">
          <cell r="AQ53" t="str">
            <v>BIS30G</v>
          </cell>
        </row>
        <row r="54">
          <cell r="AQ54" t="str">
            <v>BIS30ML</v>
          </cell>
        </row>
        <row r="55">
          <cell r="AQ55" t="str">
            <v>BIS40G</v>
          </cell>
        </row>
        <row r="56">
          <cell r="AQ56" t="str">
            <v>BIS43G</v>
          </cell>
        </row>
        <row r="57">
          <cell r="AQ57" t="str">
            <v>BIS45G</v>
          </cell>
        </row>
        <row r="58">
          <cell r="AQ58" t="str">
            <v>BIS47G</v>
          </cell>
        </row>
        <row r="59">
          <cell r="AQ59" t="str">
            <v>BIS4G</v>
          </cell>
        </row>
        <row r="60">
          <cell r="AQ60" t="str">
            <v>BIS50G</v>
          </cell>
        </row>
        <row r="61">
          <cell r="AQ61" t="str">
            <v>BIS55G</v>
          </cell>
        </row>
        <row r="62">
          <cell r="AQ62" t="str">
            <v>BIS56G</v>
          </cell>
        </row>
        <row r="63">
          <cell r="AQ63" t="str">
            <v>BIS5G</v>
          </cell>
        </row>
        <row r="64">
          <cell r="AQ64" t="str">
            <v>BIS60G</v>
          </cell>
        </row>
        <row r="65">
          <cell r="AQ65" t="str">
            <v>BIS6G</v>
          </cell>
        </row>
        <row r="66">
          <cell r="AQ66" t="str">
            <v>BIS7/5G</v>
          </cell>
        </row>
        <row r="67">
          <cell r="AQ67" t="str">
            <v>BIS70G</v>
          </cell>
        </row>
        <row r="68">
          <cell r="AQ68" t="str">
            <v>BIS80G</v>
          </cell>
        </row>
        <row r="69">
          <cell r="AQ69" t="str">
            <v>BIS90G</v>
          </cell>
        </row>
        <row r="70">
          <cell r="AQ70" t="str">
            <v>BIT</v>
          </cell>
        </row>
        <row r="71">
          <cell r="AQ71" t="str">
            <v>BL</v>
          </cell>
        </row>
        <row r="72">
          <cell r="AQ72" t="str">
            <v>BLIS</v>
          </cell>
        </row>
        <row r="73">
          <cell r="AQ73" t="str">
            <v>BLIS21CP</v>
          </cell>
        </row>
        <row r="74">
          <cell r="AQ74" t="str">
            <v>BLIS35CP</v>
          </cell>
        </row>
        <row r="75">
          <cell r="AQ75" t="str">
            <v>BOB</v>
          </cell>
        </row>
        <row r="76">
          <cell r="AQ76" t="str">
            <v>BOL</v>
          </cell>
        </row>
        <row r="77">
          <cell r="AQ77" t="str">
            <v>BOM</v>
          </cell>
        </row>
        <row r="78">
          <cell r="AQ78" t="str">
            <v>BPM</v>
          </cell>
        </row>
        <row r="79">
          <cell r="AQ79" t="str">
            <v>BPS</v>
          </cell>
        </row>
        <row r="80">
          <cell r="AQ80" t="str">
            <v>BR</v>
          </cell>
        </row>
        <row r="81">
          <cell r="AQ81" t="str">
            <v>BRI</v>
          </cell>
        </row>
        <row r="82">
          <cell r="AQ82" t="str">
            <v>BTJ</v>
          </cell>
        </row>
        <row r="83">
          <cell r="AQ83" t="str">
            <v>BTU</v>
          </cell>
        </row>
        <row r="84">
          <cell r="AQ84" t="str">
            <v>BTU/H</v>
          </cell>
        </row>
        <row r="85">
          <cell r="AQ85" t="str">
            <v>BWG</v>
          </cell>
        </row>
        <row r="86">
          <cell r="AQ86" t="str">
            <v>C</v>
          </cell>
        </row>
        <row r="87">
          <cell r="AQ87" t="str">
            <v>CA</v>
          </cell>
        </row>
        <row r="88">
          <cell r="AQ88" t="str">
            <v>CAD</v>
          </cell>
        </row>
        <row r="89">
          <cell r="AQ89" t="str">
            <v>CAL/G</v>
          </cell>
        </row>
        <row r="90">
          <cell r="AQ90" t="str">
            <v>CAPS</v>
          </cell>
        </row>
        <row r="91">
          <cell r="AQ91" t="str">
            <v>CAR</v>
          </cell>
        </row>
        <row r="92">
          <cell r="AQ92" t="str">
            <v>CC</v>
          </cell>
        </row>
        <row r="93">
          <cell r="AQ93" t="str">
            <v>CD</v>
          </cell>
        </row>
        <row r="94">
          <cell r="AQ94" t="str">
            <v>CD/M2</v>
          </cell>
        </row>
        <row r="95">
          <cell r="AQ95" t="str">
            <v>CENTO</v>
          </cell>
        </row>
        <row r="96">
          <cell r="AQ96" t="str">
            <v>CG</v>
          </cell>
        </row>
        <row r="97">
          <cell r="AQ97" t="str">
            <v>CH</v>
          </cell>
        </row>
        <row r="98">
          <cell r="AQ98" t="str">
            <v>CHI</v>
          </cell>
        </row>
        <row r="99">
          <cell r="AQ99" t="str">
            <v>CHP</v>
          </cell>
        </row>
        <row r="100">
          <cell r="AQ100" t="str">
            <v>CHP</v>
          </cell>
        </row>
        <row r="101">
          <cell r="AQ101" t="str">
            <v>CI</v>
          </cell>
        </row>
        <row r="102">
          <cell r="AQ102" t="str">
            <v>CIL</v>
          </cell>
        </row>
        <row r="103">
          <cell r="AQ103" t="str">
            <v>CIN</v>
          </cell>
        </row>
        <row r="104">
          <cell r="AQ104" t="str">
            <v>CJ</v>
          </cell>
        </row>
        <row r="105">
          <cell r="AQ105" t="str">
            <v>CL</v>
          </cell>
        </row>
        <row r="106">
          <cell r="AQ106" t="str">
            <v>CM</v>
          </cell>
        </row>
        <row r="107">
          <cell r="AQ107" t="str">
            <v>CM/POL</v>
          </cell>
        </row>
        <row r="108">
          <cell r="AQ108" t="str">
            <v>CM2</v>
          </cell>
        </row>
        <row r="109">
          <cell r="AQ109" t="str">
            <v>CM2/H</v>
          </cell>
        </row>
        <row r="110">
          <cell r="AQ110" t="str">
            <v>CM2/M</v>
          </cell>
        </row>
        <row r="111">
          <cell r="AQ111" t="str">
            <v>CM3</v>
          </cell>
        </row>
        <row r="112">
          <cell r="AQ112" t="str">
            <v>CM³/H</v>
          </cell>
        </row>
        <row r="113">
          <cell r="AQ113" t="str">
            <v>CM³/MIN</v>
          </cell>
        </row>
        <row r="114">
          <cell r="AQ114" t="str">
            <v>CNT</v>
          </cell>
        </row>
        <row r="115">
          <cell r="AQ115" t="str">
            <v>CO</v>
          </cell>
        </row>
        <row r="116">
          <cell r="AQ116" t="str">
            <v>COL</v>
          </cell>
        </row>
        <row r="117">
          <cell r="AQ117" t="str">
            <v>COMP</v>
          </cell>
        </row>
        <row r="118">
          <cell r="AQ118" t="str">
            <v>COMPR</v>
          </cell>
        </row>
        <row r="119">
          <cell r="AQ119" t="str">
            <v>CÓPIA</v>
          </cell>
        </row>
        <row r="120">
          <cell r="AQ120" t="str">
            <v>COPO</v>
          </cell>
        </row>
        <row r="121">
          <cell r="AQ121" t="str">
            <v>CP</v>
          </cell>
        </row>
        <row r="122">
          <cell r="AQ122" t="str">
            <v>CPL</v>
          </cell>
        </row>
        <row r="123">
          <cell r="AQ123" t="str">
            <v>CPM</v>
          </cell>
        </row>
        <row r="124">
          <cell r="AQ124" t="str">
            <v>CPS</v>
          </cell>
        </row>
        <row r="125">
          <cell r="AQ125" t="str">
            <v>CRT</v>
          </cell>
        </row>
        <row r="126">
          <cell r="AQ126" t="str">
            <v>CS</v>
          </cell>
        </row>
        <row r="127">
          <cell r="AQ127" t="str">
            <v>CST</v>
          </cell>
        </row>
        <row r="128">
          <cell r="AQ128" t="str">
            <v>CT</v>
          </cell>
        </row>
        <row r="129">
          <cell r="AQ129" t="str">
            <v>CTE</v>
          </cell>
        </row>
        <row r="130">
          <cell r="AQ130" t="str">
            <v>CV</v>
          </cell>
        </row>
        <row r="131">
          <cell r="AQ131" t="str">
            <v>CX</v>
          </cell>
        </row>
        <row r="132">
          <cell r="AQ132" t="str">
            <v>CX100UN</v>
          </cell>
        </row>
        <row r="133">
          <cell r="AQ133" t="str">
            <v>CX40UN</v>
          </cell>
        </row>
        <row r="134">
          <cell r="AQ134" t="str">
            <v>D</v>
          </cell>
        </row>
        <row r="135">
          <cell r="AQ135" t="str">
            <v>DAG</v>
          </cell>
        </row>
        <row r="136">
          <cell r="AQ136" t="str">
            <v>DAL</v>
          </cell>
        </row>
        <row r="137">
          <cell r="AQ137" t="str">
            <v>DAM</v>
          </cell>
        </row>
        <row r="138">
          <cell r="AQ138" t="str">
            <v>DAN</v>
          </cell>
        </row>
        <row r="139">
          <cell r="AQ139" t="str">
            <v>DB</v>
          </cell>
        </row>
        <row r="140">
          <cell r="AQ140" t="str">
            <v>DBM</v>
          </cell>
        </row>
        <row r="141">
          <cell r="AQ141" t="str">
            <v>DG</v>
          </cell>
        </row>
        <row r="142">
          <cell r="AQ142" t="str">
            <v>DGT</v>
          </cell>
        </row>
        <row r="143">
          <cell r="AQ143" t="str">
            <v>DIA</v>
          </cell>
        </row>
        <row r="144">
          <cell r="AQ144" t="str">
            <v>DIAS</v>
          </cell>
        </row>
        <row r="145">
          <cell r="AQ145" t="str">
            <v>DISCO</v>
          </cell>
        </row>
        <row r="146">
          <cell r="AQ146" t="str">
            <v>DL</v>
          </cell>
        </row>
        <row r="147">
          <cell r="AQ147" t="str">
            <v>DM</v>
          </cell>
        </row>
        <row r="148">
          <cell r="AQ148" t="str">
            <v>DM2</v>
          </cell>
        </row>
        <row r="149">
          <cell r="AQ149" t="str">
            <v>DM3</v>
          </cell>
        </row>
        <row r="150">
          <cell r="AQ150" t="str">
            <v>DM3</v>
          </cell>
        </row>
        <row r="151">
          <cell r="AQ151" t="str">
            <v>DOSES</v>
          </cell>
        </row>
        <row r="152">
          <cell r="AQ152" t="str">
            <v>DPI</v>
          </cell>
        </row>
        <row r="153">
          <cell r="AQ153" t="str">
            <v>DPT</v>
          </cell>
        </row>
        <row r="154">
          <cell r="AQ154" t="str">
            <v>DRAG</v>
          </cell>
        </row>
        <row r="155">
          <cell r="AQ155" t="str">
            <v>DZ</v>
          </cell>
        </row>
        <row r="156">
          <cell r="AQ156" t="str">
            <v>EMB</v>
          </cell>
        </row>
        <row r="157">
          <cell r="AQ157" t="str">
            <v>EMB/H</v>
          </cell>
        </row>
        <row r="158">
          <cell r="AQ158" t="str">
            <v>EMP</v>
          </cell>
        </row>
        <row r="159">
          <cell r="AQ159" t="str">
            <v>ENV</v>
          </cell>
        </row>
        <row r="160">
          <cell r="AQ160" t="str">
            <v>ENV27/9G</v>
          </cell>
        </row>
        <row r="161">
          <cell r="AQ161" t="str">
            <v>ENV30G</v>
          </cell>
        </row>
        <row r="162">
          <cell r="AQ162" t="str">
            <v>EQP</v>
          </cell>
        </row>
        <row r="163">
          <cell r="AQ163" t="str">
            <v>EST</v>
          </cell>
        </row>
        <row r="164">
          <cell r="AQ164" t="str">
            <v>EV</v>
          </cell>
        </row>
        <row r="165">
          <cell r="AQ165" t="str">
            <v>F</v>
          </cell>
        </row>
        <row r="166">
          <cell r="AQ166" t="str">
            <v>FCK</v>
          </cell>
        </row>
        <row r="167">
          <cell r="AQ167" t="str">
            <v>FD</v>
          </cell>
        </row>
        <row r="168">
          <cell r="AQ168" t="str">
            <v>FL</v>
          </cell>
        </row>
        <row r="169">
          <cell r="AQ169" t="str">
            <v>FLAC</v>
          </cell>
        </row>
        <row r="170">
          <cell r="AQ170" t="str">
            <v>FLS/H</v>
          </cell>
        </row>
        <row r="171">
          <cell r="AQ171" t="str">
            <v>FPM</v>
          </cell>
        </row>
        <row r="172">
          <cell r="AQ172" t="str">
            <v>FPS</v>
          </cell>
        </row>
        <row r="173">
          <cell r="AQ173" t="str">
            <v>FR</v>
          </cell>
        </row>
        <row r="174">
          <cell r="AQ174" t="str">
            <v>FR1000ML</v>
          </cell>
        </row>
        <row r="175">
          <cell r="AQ175" t="str">
            <v>FR100DS</v>
          </cell>
        </row>
        <row r="176">
          <cell r="AQ176" t="str">
            <v>FR100ML</v>
          </cell>
        </row>
        <row r="177">
          <cell r="AQ177" t="str">
            <v>FR105ML</v>
          </cell>
        </row>
        <row r="178">
          <cell r="AQ178" t="str">
            <v>FR10ML</v>
          </cell>
        </row>
        <row r="179">
          <cell r="AQ179" t="str">
            <v>FR110ML</v>
          </cell>
        </row>
        <row r="180">
          <cell r="AQ180" t="str">
            <v>FR1200MG</v>
          </cell>
        </row>
        <row r="181">
          <cell r="AQ181" t="str">
            <v>FR120DS</v>
          </cell>
        </row>
        <row r="182">
          <cell r="AQ182" t="str">
            <v>FR120ML</v>
          </cell>
        </row>
        <row r="183">
          <cell r="AQ183" t="str">
            <v>FR125ML</v>
          </cell>
        </row>
        <row r="184">
          <cell r="AQ184" t="str">
            <v>FR130DS</v>
          </cell>
        </row>
        <row r="185">
          <cell r="AQ185" t="str">
            <v>FR1500MG</v>
          </cell>
        </row>
        <row r="186">
          <cell r="AQ186" t="str">
            <v>FR150DS</v>
          </cell>
        </row>
        <row r="187">
          <cell r="AQ187" t="str">
            <v>FR150ML</v>
          </cell>
        </row>
        <row r="188">
          <cell r="AQ188" t="str">
            <v>FR15ML</v>
          </cell>
        </row>
        <row r="189">
          <cell r="AQ189" t="str">
            <v>FR160ML</v>
          </cell>
        </row>
        <row r="190">
          <cell r="AQ190" t="str">
            <v>FR200DS</v>
          </cell>
        </row>
        <row r="191">
          <cell r="AQ191" t="str">
            <v>FR200ML</v>
          </cell>
        </row>
        <row r="192">
          <cell r="AQ192" t="str">
            <v>FR20ML</v>
          </cell>
        </row>
        <row r="193">
          <cell r="AQ193" t="str">
            <v>FR240ML</v>
          </cell>
        </row>
        <row r="194">
          <cell r="AQ194" t="str">
            <v>FR250ML</v>
          </cell>
        </row>
        <row r="195">
          <cell r="AQ195" t="str">
            <v>FR300DS</v>
          </cell>
        </row>
        <row r="196">
          <cell r="AQ196" t="str">
            <v>FR300ML</v>
          </cell>
        </row>
        <row r="197">
          <cell r="AQ197" t="str">
            <v>FR30DS</v>
          </cell>
        </row>
        <row r="198">
          <cell r="AQ198" t="str">
            <v>FR30G</v>
          </cell>
        </row>
        <row r="199">
          <cell r="AQ199" t="str">
            <v>FR30ML</v>
          </cell>
        </row>
        <row r="200">
          <cell r="AQ200" t="str">
            <v>FR340ML</v>
          </cell>
        </row>
        <row r="201">
          <cell r="AQ201" t="str">
            <v>FR350ML</v>
          </cell>
        </row>
        <row r="202">
          <cell r="AQ202" t="str">
            <v>FR40ML</v>
          </cell>
        </row>
        <row r="203">
          <cell r="AQ203" t="str">
            <v>FR45ML</v>
          </cell>
        </row>
        <row r="204">
          <cell r="AQ204" t="str">
            <v>FR500ML</v>
          </cell>
        </row>
        <row r="205">
          <cell r="AQ205" t="str">
            <v>H</v>
          </cell>
        </row>
        <row r="206">
          <cell r="AQ206" t="str">
            <v>KG</v>
          </cell>
        </row>
        <row r="207">
          <cell r="AQ207" t="str">
            <v>KM</v>
          </cell>
        </row>
        <row r="208">
          <cell r="AQ208" t="str">
            <v>M</v>
          </cell>
        </row>
        <row r="209">
          <cell r="AQ209" t="str">
            <v>M2</v>
          </cell>
        </row>
        <row r="210">
          <cell r="AQ210" t="str">
            <v>M3</v>
          </cell>
        </row>
        <row r="211">
          <cell r="AQ211" t="str">
            <v>M3XKM</v>
          </cell>
        </row>
        <row r="212">
          <cell r="AQ212" t="str">
            <v>MES</v>
          </cell>
        </row>
        <row r="213">
          <cell r="AQ213" t="str">
            <v>MÊS</v>
          </cell>
        </row>
        <row r="214">
          <cell r="AQ214" t="str">
            <v>MESES</v>
          </cell>
        </row>
        <row r="215">
          <cell r="AQ215" t="str">
            <v>OUTRAS</v>
          </cell>
        </row>
        <row r="216">
          <cell r="AQ216" t="str">
            <v>PAR</v>
          </cell>
        </row>
        <row r="217">
          <cell r="AQ217" t="str">
            <v>PC</v>
          </cell>
        </row>
        <row r="218">
          <cell r="AQ218" t="str">
            <v>T</v>
          </cell>
        </row>
        <row r="219">
          <cell r="AQ219" t="str">
            <v>TXKM</v>
          </cell>
        </row>
        <row r="220">
          <cell r="AQ220" t="str">
            <v>UN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camento Administração"/>
      <sheetName val="Composição (2)"/>
      <sheetName val="Cronograma Físico-Financeiro"/>
      <sheetName val="BDI Administração"/>
      <sheetName val="Composição"/>
      <sheetName val="Cotação"/>
    </sheetNames>
    <sheetDataSet>
      <sheetData sheetId="0">
        <row r="8">
          <cell r="F8"/>
        </row>
        <row r="19">
          <cell r="J19">
            <v>65672.12</v>
          </cell>
        </row>
        <row r="78">
          <cell r="J78">
            <v>64917.070000000007</v>
          </cell>
        </row>
        <row r="149">
          <cell r="J149">
            <v>522004.93</v>
          </cell>
        </row>
        <row r="194">
          <cell r="J194">
            <v>219739.15</v>
          </cell>
        </row>
        <row r="225">
          <cell r="J225">
            <v>246102.52999999997</v>
          </cell>
        </row>
        <row r="315">
          <cell r="J315">
            <v>563011.42000000004</v>
          </cell>
        </row>
        <row r="340">
          <cell r="J340">
            <v>171276.84000000003</v>
          </cell>
        </row>
        <row r="359">
          <cell r="J359">
            <v>139581.94999999998</v>
          </cell>
        </row>
        <row r="362">
          <cell r="J362">
            <v>114962.04</v>
          </cell>
        </row>
        <row r="384">
          <cell r="J384">
            <v>61469.4</v>
          </cell>
        </row>
        <row r="432">
          <cell r="J432">
            <v>190516.82</v>
          </cell>
        </row>
        <row r="442">
          <cell r="J442">
            <v>16523.189999999999</v>
          </cell>
        </row>
        <row r="468">
          <cell r="J468">
            <v>344605.59</v>
          </cell>
        </row>
        <row r="480">
          <cell r="J480">
            <v>70078.989999999976</v>
          </cell>
        </row>
        <row r="483">
          <cell r="J483">
            <v>4184.13</v>
          </cell>
        </row>
      </sheetData>
      <sheetData sheetId="1">
        <row r="12">
          <cell r="B12" t="str">
            <v>Q01</v>
          </cell>
          <cell r="D12" t="str">
            <v>REMOÇÃO DE AR CONDICIONADO 9.000 A 12.000 BTUS COM REAPROVEITAMENTO</v>
          </cell>
        </row>
        <row r="15">
          <cell r="B15" t="str">
            <v>Q02</v>
          </cell>
          <cell r="D15" t="str">
            <v>REMOÇÃO DE GUARDA CORPO/GRADIL, COM ALTURA DE 1,10M, COM REAPROVEITAMENTO</v>
          </cell>
        </row>
        <row r="18">
          <cell r="B18" t="str">
            <v>Q02.1</v>
          </cell>
          <cell r="D18" t="str">
            <v>INSTALAÇÃO DE GUARDA CORPO/GRADIL REAPROVEITADO, COM ALTURA DE 1,10M, INCLUSO FIXAÇÃO COM CHUMBADOR MECÂNICO</v>
          </cell>
        </row>
        <row r="31">
          <cell r="B31" t="str">
            <v>Q04</v>
          </cell>
          <cell r="D31" t="str">
            <v>JANELA-BAR EM MADEIRA FRISADA, COM ACABAMENTO MELAMÍNICO, COM 240X130CM, ESPESSURA DE 3,5CM, INCLUSO DOBRADIÇAS, FOLHA MÉDIA. FORNECIMENTO E INSTALAÇÃO</v>
          </cell>
        </row>
        <row r="38">
          <cell r="B38" t="str">
            <v>Q04.1</v>
          </cell>
          <cell r="D38" t="str">
            <v>JANELA-BAR EM MADEIRA FRISADA, COM ACABAMENTO MELAMÍNICO, COM 220X130CM, ESPESSURA DE 3,5CM, INCLUSO DOBRADIÇAS, FOLHA MÉDIA. FORNECIMENTO E INSTALAÇÃO</v>
          </cell>
        </row>
        <row r="45">
          <cell r="B45" t="str">
            <v>Q05</v>
          </cell>
          <cell r="D45" t="str">
            <v>JANELA DE ALUMÍNIO TIPO MAXIM-AR/BASCULANTE, CONFORME DETALHAMENTOS, COM VIDROS, BATENTE E FERRAGENS, COM PUXADOR DE CORRENTE, INCLUSIVE ALIZAR, ACABAMENTO E CONTRAMARCO, FIXAÇÃO COM PARAFUSO. FORNECIMENTO E INSTALAÇÃO. AF_11/2024</v>
          </cell>
        </row>
        <row r="53">
          <cell r="B53" t="str">
            <v>Q06</v>
          </cell>
          <cell r="D53" t="str">
            <v>JANELA DE ALUMÍNIO TIPO MAXIN-AR/BASCULANTE, CONFORME DETALHAMENTOS, COM VIDROS, BATENTE E FERRAGENS, INCLUSIVE ALIZAR, ACABAMENTO E CONTRAMARCO, FIXAÇÃO COM PARAFUSO. FORNECIMENTO E INSTALAÇÃO. AF_11/2024</v>
          </cell>
        </row>
        <row r="72">
          <cell r="B72" t="str">
            <v>Q09</v>
          </cell>
          <cell r="D72" t="str">
            <v>KIT DE PORTA-PRONTA DE MADEIRA EM ACABAMENTO LAQUEADO FOSCO BRANCO, FOLHA LEVE OU MÉDIA, 90X210, INCLUSIVE MARCO, ALIZAR, DOBRADIÇA, FECHADURA COM EXECUÇÃO DO FURO, FIXAÇÃO COM PREENCHIMENTO TOTAL DE ESPUMA EXPANSIVA - FORNECIMENTO E INSTALAÇÃO. AF_12/2019</v>
          </cell>
        </row>
        <row r="78">
          <cell r="B78" t="str">
            <v>Q11</v>
          </cell>
          <cell r="D78" t="str">
            <v>PORTA DE CORRER DE ALUMÍNIO, EM VENEZIANA, 90x210, ESTRUTURA EXTERNA, SEM GUIA DE CHÃO, FECHADURA E PUXADOR. AF_12/2019</v>
          </cell>
        </row>
        <row r="86">
          <cell r="B86" t="str">
            <v>Q12</v>
          </cell>
          <cell r="D86" t="str">
            <v>PORTA DE CORRER, EM MADEIRA EM ACABAMENTO LAQUEADO FOSCO BRANCO, FOLHA LEVE OU MÉDIA, 90X210, INCLUSIVE MARCO, ALIZAR, DOBRADIÇA, FECHADURA COM EXECUÇÃO DO FURO, FIXAÇÃO PELA FACE EXTERNA, SEM GUIA DE CHÃO - FORNECIMENTO E INSTALAÇÃO.</v>
          </cell>
        </row>
        <row r="100">
          <cell r="B100" t="str">
            <v>Q14</v>
          </cell>
          <cell r="D100" t="str">
            <v>PAREDE COM SISTEMA EM CHAPAS DE GESSO RU (ÁREA MOLHADA) PARA DRYWALL, USO INTERNO, COM DUAS FACES SIMPLES E ESTRUTURA METÁLICA COM GUIAS SIMPLES PARA PAREDES COM ÁREA LÍQUIDA MAIOR OU IGUAL A 6 M2.</v>
          </cell>
        </row>
        <row r="112">
          <cell r="B112" t="str">
            <v>Q14.1</v>
          </cell>
          <cell r="D112" t="str">
            <v>PAREDE COM SISTEMA EM CHAPAS DE GESSO RU (ÁREA MOLHADA) PARA DRYWALL, USO INTERNO, COM UMA FACE SIMPLES E ESTRUTURA METÁLICA COM GUIA SIMPLES PARA PAREDES COM ÁREA LÍQUIDA MAIOR OU IGUAL A 6 M2.</v>
          </cell>
        </row>
        <row r="144">
          <cell r="B144" t="str">
            <v>Q18</v>
          </cell>
          <cell r="D144" t="str">
            <v>ALVENARIA DE VEDAÇÃO COM ELEMENTO VAZADO EM LOUÇA (COBOGÓ) DE 7X20X20CM E ARGAMASSA DE ASSENTAMENTO COM PREPARO EM BETONEIRA. AF_05/2020</v>
          </cell>
        </row>
        <row r="149">
          <cell r="B149" t="str">
            <v>Q19</v>
          </cell>
          <cell r="D149" t="str">
            <v>REMOÇÃO DE PISO MODULAR ESPORTIVO INDOOR, EM POLIPROPILENO COPOLÍMERO DE AUTO IMPACTO, E MANTA PEBD, COM REAPROVEITAMENTO</v>
          </cell>
        </row>
        <row r="152">
          <cell r="B152" t="str">
            <v>Q20</v>
          </cell>
          <cell r="D152" t="str">
            <v>INSTALAÇÃO DE PISO MODULAR ESPORTIVO INDOOR, EM POLIPROPILENO COPOLÍMERO DE AUTO IMPACTO, E MANTA PEBD, MATERIAL EXISTENTE.</v>
          </cell>
        </row>
        <row r="155">
          <cell r="B155" t="str">
            <v>Q21</v>
          </cell>
          <cell r="D155" t="str">
            <v>INSTALAÇÃO DE PISO MODULAR ESPORTIVO INDOOR, EM POLIPROPILENO COPOLÍMERO DE AUTO IMPACTO, COM MANTA PEBD E FITA DE DEMARCAÇÃO DAS MODALIDADES ESPORTIVAS, BEM COMO CANTONEIRAS E DEMAIS MATERIAIS NECESSÁRIOS (PISO NOVO)</v>
          </cell>
        </row>
        <row r="159">
          <cell r="B159" t="str">
            <v>Q22</v>
          </cell>
          <cell r="D159" t="str">
            <v>BANCADA GRANITO CINZA 350 X 50 CM, COM CUBAS DE EMBUTIR EM LOUÇA BRANCA, VÁLVULA E SIFÃO TIPO GARRAFA EM METAL CROMADO, ENGATE FLEXÍVEL 30 CM, TORNEIRA CROMADA DE MESA - FORNEC. E INSTALAÇÃO. AF_02/2026</v>
          </cell>
        </row>
        <row r="164">
          <cell r="B164" t="str">
            <v>Q23</v>
          </cell>
          <cell r="D164" t="str">
            <v>BANCADA GRANITO CINZA 460 X 50 CM, COM CUBAS DE EMBUTIR EM LOUÇA BRANCA, VÁLVULA E SIFÃO TIPO GARRAFA EM METAL CROMADO, ENGATE FLEXÍVEL 30 CM, TORNEIRA CROMADA DE MESA - FORNEC. E INSTALAÇÃO. AF_02/2026</v>
          </cell>
        </row>
        <row r="169">
          <cell r="B169" t="str">
            <v>Q24</v>
          </cell>
          <cell r="D169" t="str">
            <v>BARRA DE APOIO RETA, EM AÇO INOX POLIDO, COMPRIMENTO 40 CM, FIXADA NA PAREDE - FORNECIMENTO E INSTALAÇÃO. AF_02/2026</v>
          </cell>
        </row>
        <row r="174">
          <cell r="B174" t="str">
            <v>Q25</v>
          </cell>
          <cell r="D174" t="str">
            <v>CORRIMÃO DUPLO FIXADO EM PAREDE OU ESTRUTURA METÁLICA, DIÂMETRO EXTERNO = 1 1/2", EM AÇO GALVANIZADO (COM PINTURA DE PROTEÇÃO). AF_10/2025</v>
          </cell>
        </row>
        <row r="181">
          <cell r="B181" t="str">
            <v>Q26</v>
          </cell>
          <cell r="D181" t="str">
            <v>REDE DE PROTEÇÃO PARA QUADRA POLIESPORTIVA - FORNECIMENTO E INSTALAÇÃO. AF_03/2022</v>
          </cell>
        </row>
        <row r="186">
          <cell r="B186" t="str">
            <v>Q27</v>
          </cell>
          <cell r="D186" t="str">
            <v>INSTALAÇÃO DE PORTÃO EM AÇO GALVANIZADO DE 1,10M DE ALTURA, COM MONTANTES TUBULARES DE 1.1/4", TRAVESSA SUPERIOR DE 1.1/2", GRADIL COM TELA OTIS, FIXADO EM GRADIL EXISTENTE.</v>
          </cell>
        </row>
        <row r="193">
          <cell r="B193" t="str">
            <v>Q28</v>
          </cell>
          <cell r="D193" t="str">
            <v>TELHAMENTO COM TELHA ONDULADA EM AÇO ZINCADO, COM ATÉ 2 ÁGUAS, INCLUSO IÇAMENTO. AF_07/2019</v>
          </cell>
        </row>
        <row r="200">
          <cell r="B200" t="str">
            <v>Q29</v>
          </cell>
          <cell r="D200" t="str">
            <v>GUARDA-CORPO PANORÂMICO DE 0,50M, MONTANTES EM ALUMÍNIO DE 90X45 MM ESPAÇADOS DE 1,20M, VIDRO LAMINADO 8 MM, FIXADO COM ADESIVO ESTRUTURAL EPOXI. AF_10/2025</v>
          </cell>
        </row>
        <row r="211">
          <cell r="B211" t="str">
            <v>Q29.1</v>
          </cell>
          <cell r="D211" t="str">
            <v>GUARDA-CORPO PANORÂMICO DE 1,10M, MONTANTES EM ALUMÍNIO DE 90X45 MM ESPAÇADOS DE 1,20M, VIDRO LAMINADO 8 MM, FIXADO COM ADESIVO ESTRUTURAL EPOXI. AF_10/2025</v>
          </cell>
        </row>
        <row r="229">
          <cell r="B229" t="str">
            <v>Q31</v>
          </cell>
          <cell r="D229" t="str">
            <v>JANELA DE ALUMÍNIO TIPO MAXIM-AR/BASCULANTE, CONFORME DETALHAMENTOS, COM VIDROS, BATENTE E FERRAGENS, VIDRO FIXO INFERIOR, INCLUSIVE ALIZAR, ACABAMENTO E CONTRAMARCO, FIXAÇÃO COM PARAFUSO. FORNECIMENTO E INSTALAÇÃO. AF_11/2024</v>
          </cell>
        </row>
        <row r="236">
          <cell r="B236" t="str">
            <v>Q32</v>
          </cell>
          <cell r="D236" t="str">
            <v>PORTA DE CORRER DE ALUMÍNIO, COM TRÊS FOLHAS PARA VIDRO, INCLUSO VIDRO LISO INCOLOR, FECHADURA E PUXADOR, INCLUSIVE ALIZAR/GUARNIÇÃO</v>
          </cell>
        </row>
        <row r="260">
          <cell r="B260" t="str">
            <v>Q35</v>
          </cell>
          <cell r="D260" t="str">
            <v>CALHA EM CHAPA DE AÇO GALVANIZADO NÚMERO 24, DESENVOLVIMENTO DE 120 CM, INCLUSO TRANSPORTE VERTICAL. AF_07/2019</v>
          </cell>
        </row>
        <row r="270">
          <cell r="B270" t="str">
            <v>Q36</v>
          </cell>
          <cell r="D270" t="str">
            <v>ESCADA TIPO MARINHEIRO EM TUBO ACO GALVANIZADO 1 1/2" (COM PINTURA DE PROTEÇÃO), COM GUARDA-CORPO, PARA ALTURAS MAIORES QUE 3 M, FIXADA COM CHUMBADOR MECÂNICO. AF_11/2020</v>
          </cell>
        </row>
        <row r="278">
          <cell r="B278" t="str">
            <v>Q37</v>
          </cell>
          <cell r="D278" t="str">
            <v>FORNECIMENTO E INSTALAÇÃO DE PORTÃO DE GIRO, COM ESTRUTURA EM TUBO DE AÇO GALVANIZADO (COM PINTURA DE PROTEÇÃO), COM TELA OTIS, MALHA 5X5, DIMENSÕES DE 100X300 M</v>
          </cell>
        </row>
        <row r="285">
          <cell r="B285" t="str">
            <v>Q37.1</v>
          </cell>
          <cell r="D285" t="str">
            <v>FORNECIMENTO E INSTALAÇÃO DE PORTÃO DE GIRO, COM ESTRUTURA EM TUBO DE AÇO GALVANIZADO (COM PINTURA DE PROTEÇÃO), COM TELA OTIS, MALHA 5X5, DIMENSÕES DE 100X210 M</v>
          </cell>
        </row>
        <row r="299">
          <cell r="B299" t="str">
            <v>Q39</v>
          </cell>
          <cell r="D299" t="str">
            <v>PORTA CORTA-FOGO 130X210X5CM, DUAS FOLHAS, COM BARRA ANTI PÂNICO, INCLUSO PLACA DE SINALIZAÇÃO DE SEGURANÇA - FORNECIMENTO E INSTALAÇÃO. AF_10/2025</v>
          </cell>
        </row>
        <row r="306">
          <cell r="B306" t="str">
            <v>Q40</v>
          </cell>
          <cell r="D306" t="str">
            <v>PORTA CORTA-FOGO 150X210X5CM, DUAS FOLHAS, COM BARRA ANTI PÂNICO, INCLUSO PLACA DE SINALIZAÇÃO DE SEGURANÇA - FORNECIMENTO E INSTALAÇÃO. AF_10/2025</v>
          </cell>
        </row>
        <row r="313">
          <cell r="B313" t="str">
            <v>Q41</v>
          </cell>
          <cell r="D313" t="str">
            <v>BANCADA GRANITO CINZA 500 X 50 CM, COM CUBAS DE EMBUTIR EM LOUÇA BRANCA, VÁLVULA E SIFÃO TIPO GARRAFA EM METAL CROMADO, ENGATE FLEXÍVEL 30 CM, TORNEIRA CROMADA DE MESA - FORNEC. E INSTALAÇÃO. AF_02/2026</v>
          </cell>
        </row>
        <row r="318">
          <cell r="B318" t="str">
            <v>Q42</v>
          </cell>
          <cell r="D318" t="str">
            <v>ESPELHO CRISTAL, ESPESSURA 4 MM, SEM MOLDURA, APARAFUSADO COM BOTÃO DE ROSCA INTERNA, COM ÁREA MAIOR QUE 1,0 M2.. AF_11/2025</v>
          </cell>
        </row>
        <row r="324">
          <cell r="B324" t="str">
            <v>Q43</v>
          </cell>
          <cell r="D324" t="str">
            <v>PUXADOR PARA PCD (BARRA 40CM), FIXADO NA PORTA - FORNECIMENTO E INSTALAÇÃO. AF_02/2026</v>
          </cell>
        </row>
        <row r="410">
          <cell r="B410" t="str">
            <v>Q52</v>
          </cell>
          <cell r="D410" t="str">
            <v>(COMPOSIÇÃO REPRESENTATIVA) DO SERVIÇO DE INSTALAÇÃO DE TUBOS DE PVC, SOLDÁVEL, ÁGUA FRIA, DN 20 MM (INSTALADO EM RAMAL, SUB-RAMAL OU RAMAL DE DISTRIBUIÇÃO), INCLUSIVE CONEXÕES, CORTES E FIXAÇÕES, PARA PRÉDIOS. AF_10/2015</v>
          </cell>
        </row>
        <row r="429">
          <cell r="B429" t="str">
            <v>Q53</v>
          </cell>
          <cell r="D429" t="str">
            <v>(COMPOSIÇÃO REPRESENTATIVA) DO SERVIÇO DE INSTALAÇÃO DE TUBOS DE PVC, SOLDÁVEL, ÁGUA FRIA, DN 25 MM (INSTALADO EM RAMAL, SUB-RAMAL, RAMAL DE DISTRIBUIÇÃO OU PRUMADA), INCLUSIVE CONEXÕES, CORTES E FIXAÇÕES, PARA PRÉDIOS. AF_10/2015</v>
          </cell>
        </row>
        <row r="455">
          <cell r="B455" t="str">
            <v>Q54</v>
          </cell>
          <cell r="D455" t="str">
            <v>(COMPOSIÇÃO REPRESENTATIVA) DO SERVIÇO DE INSTALAÇÃO DE TUBOS DE PVC, SOLDÁVEL, ÁGUA FRIA, DN 40 MM (INSTALADO EM PRUMADA), INCLUSIVE CONEXÕES, CORTES E FIXAÇÕES, PARA PRÉDIOS. AF_10/2015</v>
          </cell>
        </row>
        <row r="481">
          <cell r="B481" t="str">
            <v>Q56</v>
          </cell>
          <cell r="D481" t="str">
            <v>(COMPOSIÇÃO REPRESENTATIVA) DO SERVIÇO DE INSTALAÇÃO DE TUBOS DE PVC, SOLDÁVEL, ÁGUA FRIA, DN 32 MM (INSTALADO EM RAMAL, SUB-RAMAL, RAMAL DE DISTRIBUIÇÃO OU PRUMADA), INCLUSIVE CONEXÕES, CORTES E FIXAÇÕES, PARA PRÉDIOS. AF_10/2015</v>
          </cell>
        </row>
        <row r="521">
          <cell r="B521" t="str">
            <v>Q57.1</v>
          </cell>
          <cell r="D521" t="str">
            <v>CONJUNTO DE LIGAÇÃO HIDRÁULICA DE ÁGUA FRIA PARA ÁREA DE SERVIÇO (RAMAL/SUB-RAMAL E DISTRIBUIÇÃO) EM PVC, COM TUBOS, CONEXÕES, REGISTROS, CORTES E FIXAÇÕES EM PRÉDIO COM TUBULAÇÕES EMBUTIDAS COM RASGO. AF_05/2023</v>
          </cell>
        </row>
        <row r="606">
          <cell r="B606" t="str">
            <v>Q60.1</v>
          </cell>
          <cell r="D606" t="str">
            <v>CONJUNTO DE LIGAÇÃO HIDRÁULICA DE ÁGUA FRIA PARA BANHEIRO (RAMAL/SUB-RAMAL E DISTRIBUIÇÃO) EM PVC, COM TUBOS, CONEXÕES, REGISTROS, CORTES E FIXAÇÕES EM PRÉDIO COM TUBULAÇÕES EMBUTIDAS COM RASGO. AF_05/2023</v>
          </cell>
        </row>
        <row r="648">
          <cell r="B648" t="str">
            <v>Q61.1</v>
          </cell>
          <cell r="D648" t="str">
            <v>CONJUNTO DE LIGAÇÕES HIDRÁULICAS DE ÁGUA FRIA PARA COZINHA (RAMAL/SUB-RAMAL E DISTRIBUIÇÃO) EM PVC, COM TUBOS, CONEXÕES, REGISTROS, CORTES E FIXAÇÕES EM PRÉDIO COM TUBULAÇÕES EMBUTIDAS COM RASGO. AF_05/2023</v>
          </cell>
        </row>
        <row r="698">
          <cell r="B698" t="str">
            <v>Q64</v>
          </cell>
          <cell r="D698" t="str">
            <v>TANQUE DE POLIETILENO, 5000 LITROS (INCLUSOS TUBOS, CONEXÕES E TORNEIRA DE BÓIA) - FORNECIMENTO E INSTALAÇÃO</v>
          </cell>
        </row>
        <row r="713">
          <cell r="B713" t="str">
            <v>Q65</v>
          </cell>
          <cell r="D713" t="str">
            <v>TANQUE DE POLIETILENO, 10000 LITROS (INCLUSOS TUBOS, CONEXÕES E TORNEIRA DE BÓIA) - FORNECIMENTO E INSTALAÇÃO</v>
          </cell>
        </row>
        <row r="740">
          <cell r="B740" t="str">
            <v>Q67</v>
          </cell>
          <cell r="D740" t="str">
            <v>(COMPOSIÇÃO REPRESENTATIVA) DO SERVIÇO DE INSTALAÇÃO DE TUBO DE PVC, SÉRIE NORMAL, ESGOTO PREDIAL, DN 50 MM (INSTALADO EM RAMAL DE DESCARGA OU RAMAL DE ESGOTO SANITÁRIO), INCLUSIVE CONEXÕES, CORTES E FIXAÇÕES, PARA PRÉDIOS</v>
          </cell>
        </row>
        <row r="753">
          <cell r="B753" t="str">
            <v>Q68</v>
          </cell>
          <cell r="D753" t="str">
            <v xml:space="preserve">(COMPOSIÇÃO REPRESENTATIVA) DO SERVIÇO DE INST. TUBO PVC, SÉRIE N, ESGOTO PREDIAL, DN 75 MM, (INST. EM RAMAL DE DESCARGA, RAMAL DE ESG. SANITÁRIO, PRUMADA DE ESG. SANITÁRIO OU VENTILAÇÃO), INCL. CONEXÕES, CORTES E FIXAÇÕES, P/ PRÉDIOS. </v>
          </cell>
        </row>
        <row r="770">
          <cell r="B770" t="str">
            <v>Q69</v>
          </cell>
          <cell r="D770" t="str">
            <v>(COMPOSIÇÃO REPRESENTATIVA) DO SERVIÇO DE INSTALAÇÃO DE TUBO DE PVC, SÉRIE NORMAL, ESGOTO PREDIAL, DN 100 MM (INSTALADO EM RAMAL DE DESCARGA OU RAMAL DE ESGOTO SANITÁRIO), INCLUSIVE CONEXÕES, CORTES E FIXAÇÕES, PARA PRÉDIOS</v>
          </cell>
        </row>
        <row r="790">
          <cell r="B790" t="str">
            <v>Q70</v>
          </cell>
          <cell r="D790" t="str">
            <v>CAIXA DE INSPEÇÃO SIFONADA RETANGULAR EM ALVENARIA COM TIJOLOS CERÂMICOS MACIÇOS, DIMENSÕES INTERNAS: 0,6X0,6X0,6 M PARA REDE DE ESGOTO</v>
          </cell>
        </row>
        <row r="806">
          <cell r="B806" t="str">
            <v>Q71</v>
          </cell>
          <cell r="D806" t="str">
            <v>(COMPOSIÇÃO REPRESENTATIVA) DO SERVIÇO DE INSTALAÇÃO DE TUBO DE PVC, SÉRIE NORMAL, ESGOTO PREDIAL, DN 150 MM (INSTALADO EM RAMAL DE DESCARGA OU RAMAL DE ESGOTO SANITÁRIO), INCLUSIVE CONEXÕES, CORTES E FIXAÇÕES, PARA PRÉDIOS</v>
          </cell>
        </row>
        <row r="812">
          <cell r="B812" t="str">
            <v>Q72</v>
          </cell>
          <cell r="D812" t="str">
            <v>TANQUE SÉPTICO RETANGULAR, EM ALVENARIA COM BLOCOS DE CONCRETO ESTRUTURAL ARMADA COM LAJES, DIMENSÕES INTERNAS: 2,5 X 5,0 X H=1,5 M, INCLUSO ESCAVAÇÃO. FORNECIMENTO E INSTALAÇÃO</v>
          </cell>
        </row>
        <row r="846">
          <cell r="B846" t="str">
            <v>Q74</v>
          </cell>
          <cell r="D846" t="str">
            <v>SUMIDOURO RETANGULAR, EM ALVENARIA COM BLOCOS DE CONCRETO, DIMENSÕES INTERNAS: 4,50 X 4,50 X H=2,50 M, INCLUSO ESCAVAÇÃO, FORNECIMENTO E INSTALAÇÃO</v>
          </cell>
        </row>
        <row r="865">
          <cell r="B865" t="str">
            <v>Q76</v>
          </cell>
          <cell r="D865" t="str">
            <v>FIXAÇÃO DE TUBOS HORIZONTAIS DE PVC ÁGUA/PVC ESGOTO/PVC PLUVIAL/CPVC/PPR/COBRE OU AÇO, DIÂMETROS MAIORES QUE 100 MM E MENORES OU IGUAIS A 150 MM, COM ABRAÇADEIRA TIPO D COM PARAFUSO DE FIXAÇÃO 4", FIXADA DIRETAMENTE NA LAJE OU PAREDE. AF_09/2023</v>
          </cell>
        </row>
        <row r="870">
          <cell r="B870" t="str">
            <v>Q77</v>
          </cell>
          <cell r="D870" t="str">
            <v>FILTRO ANAERÓBIO RETANGULAR, EM ALVENARIA COM BLOCOS DE CONCRETO, DIMENSÕES INTERNAS: 1,5 X 2,0 X H=1,50 M.</v>
          </cell>
        </row>
        <row r="893">
          <cell r="B893" t="str">
            <v>Q78</v>
          </cell>
          <cell r="D893" t="str">
            <v>SUMIDOURO RETANGULAR, EM ALVENARIA COM BLOCOS DE CONCRETO, DIMENSÕES INTERNAS: 3,0 X 3,5 X H=2,0 M, INCLUSO ESCAVAÇÃO - FORNECIMENTO E INSTALAÇÃO</v>
          </cell>
        </row>
        <row r="908">
          <cell r="B908" t="str">
            <v>Q79</v>
          </cell>
          <cell r="D908" t="str">
            <v>VIGA MOLDADA IN LOCO, 15X30 CM, COM EXECUÇÃO DE FORMA E DESFORMA, COM TRELIÇA METALICA E ESCAVAÇÃO.</v>
          </cell>
        </row>
        <row r="913">
          <cell r="B913" t="str">
            <v>Q80</v>
          </cell>
          <cell r="D913" t="str">
            <v>PISO PODOTÁTIL, DIRECIONAL OU ALERTA, SOLIDARIZADO AO PISO EXISTENTE (ELEMENTOS DISCRETOS) COM PARAFUSO. AF_02/2026</v>
          </cell>
        </row>
        <row r="917">
          <cell r="B917" t="str">
            <v>Q81</v>
          </cell>
          <cell r="D917" t="str">
            <v>BANCO METÁLICO, SEM ENCOSTO, FIXADO NA PAREDE, EM TUBO DE INOX, PARA VESTIÁRIO ACESSÍVEL. INSTALAÇÃO E FORNECIMENTO</v>
          </cell>
        </row>
        <row r="921">
          <cell r="B921" t="str">
            <v>Q82</v>
          </cell>
          <cell r="D921" t="str">
            <v>INSTALAÇÃO E FORNECIMENTO DE TELHADO/TOLDO, PARA PROTEÇÃO CONTRA CHUVA, INCLUSO VEDAÇÕES CONTRA INFILTAÇÃO, NAS PORTAS DE SAÍDA DO BLOCO DOS FUNDOS</v>
          </cell>
        </row>
        <row r="925">
          <cell r="B925" t="str">
            <v>Q83</v>
          </cell>
          <cell r="D925" t="str">
            <v>REMOÇÃO DE MANTA ALUMINIZADA EXISTENTE, SEM REAPROVEITAMENTO.</v>
          </cell>
        </row>
        <row r="928">
          <cell r="B928" t="str">
            <v>Q84</v>
          </cell>
          <cell r="D928" t="str">
            <v>SUBCOBERTURA COM ISOLAMENTO TERMOACÚSTICO COM MANTA ALUMINIZADA E LÃ MINERAL, VEDAÇÃO ESTÉTICA COM VÉU DE VIDRO, INCLUSO TRANSPORTE VERTICAL E TIRANTE METÁLICO (VERGALHÃO) PARA SUSTENTAÇÃO DA MANTA. AF_07/2019</v>
          </cell>
        </row>
      </sheetData>
      <sheetData sheetId="2"/>
      <sheetData sheetId="3"/>
      <sheetData sheetId="4">
        <row r="24">
          <cell r="B24" t="str">
            <v>Q03</v>
          </cell>
          <cell r="D24" t="str">
            <v>JANELA DE ALUMÍNIO DE CORRER COM 2 FOLHAS PARA VIDROS, COM VIDROS, BATENTE, ACABAMENTO COM ACETATO OU BRILHANTE E FERRAGENS, COM VIDRO FIXO NA PARTE INFERIOR, INCLUSIVE ALIZAR E CONTRAMARCO, FIXAÇÃO COM PARAFUSO. FORNECIMENTO E INSTALAÇÃO. AF_11/2024</v>
          </cell>
        </row>
        <row r="57">
          <cell r="B57" t="str">
            <v>Q08</v>
          </cell>
          <cell r="D57" t="str">
            <v>PEITORIL LINEAR EM GRANITO OU MÁRMORE, L = 30CM, COMPRIMENTO DE ATÉ 2M, ASSENTADO COM ARGAMASSA 1:6 COM ADITIVO. AF_11/2020 (BALCÃO DE ATENDIMENTO)</v>
          </cell>
        </row>
      </sheetData>
      <sheetData sheetId="5">
        <row r="18">
          <cell r="C18" t="str">
            <v>LIXEIRA DE AÇO INOX 5 LITROS COM PEDAL</v>
          </cell>
        </row>
        <row r="27">
          <cell r="C27" t="str">
            <v>LIXEIRA DE AÇO INOX 3 LITROS COM TAMPA VAI E VEM (PCD)</v>
          </cell>
        </row>
        <row r="83">
          <cell r="C83" t="str">
            <v>ELEVADOR PARA ACESSIBILIDADE COM PERCURSO VERTICAL ATÉ 12M, SEM CASA DE MÁQUINAS, PARA 08 PASSAGEIROS (600kg), EM AÇO INOX, ACESSO PELO MESMO LADO. INCLUSO FORNECIMENTO E INSTALAÇÕES</v>
          </cell>
        </row>
        <row r="93">
          <cell r="C93" t="str">
            <v>PLAQUETA TÁTIL DE ALUMINIO COM MARCAÇÃO EM BRAILE, 10X3CM -  SINALIZAÇÃO NO CORRIMÃO</v>
          </cell>
        </row>
        <row r="100">
          <cell r="C100" t="str">
            <v>ALARME AUDIOVISUAL SIRENE DE EMERGÊNCIA PARA SANITÁRIO PCD</v>
          </cell>
        </row>
        <row r="108">
          <cell r="C108" t="str">
            <v>PLAQUETA ACRÍLICA, DE IDENTIFICAÇÃO EM BRAILE, PARA AMBIENTES COMUNS DE 3 OU 4 PALAVRAS</v>
          </cell>
        </row>
        <row r="116">
          <cell r="C116" t="str">
            <v>PLACA DE IDENTIFICAÇÃO DE SANITÁRIO COM SIMBOLO DE DESENHO UNIVERSAL – 1 SANITÁRIO FEM/MASC ACESSIVEL</v>
          </cell>
        </row>
        <row r="123">
          <cell r="C123" t="str">
            <v>FAIXA ADESIVA PARA IDENTIFICAÇÃO DE PORTA DE VIDRO</v>
          </cell>
        </row>
        <row r="130">
          <cell r="C130" t="str">
            <v>FAIXA FOTOLUMINESCENTE PARA IDENTIFICAÇÃO VISUAL DE DEGRAUS 3X7CM</v>
          </cell>
        </row>
        <row r="137">
          <cell r="C137" t="str">
            <v>BEBEDOURO ACESSÍVEL PCD COM TECLA DE ACIONAMENTO SUAVE PARA ÁGUA GELADA E NATURAL, COM INDICAÇÃO EM BRAILE. JATO PARA BOCA, TEMPERATURA DE RESFRIAMENTO 10° E VAZÃO MÁXIMA (L/H) 60. FORNECIMENTO E INSTALAÇÃO</v>
          </cell>
        </row>
        <row r="146">
          <cell r="C146" t="str">
            <v>KIT VENTO EXAUSTOR DE BANHEIRO 5MT 100MM, INCLUSO TUBO DE PASSAGEM - FORNECIMENTO E INSTALAÇÃO</v>
          </cell>
        </row>
        <row r="152">
          <cell r="C152" t="str">
            <v>LETREIRO EM PVC 20MM, DIMENSÕES DE 10X0,50M, COM SOBREPOSTO EM ACM PRATA, COM CAVA DE 1,50CM PARA APLICAÇÃO DE LED (INCLUSO), COM PINOS DE 30MM PARA AFASTAMENTO DA PAREDE - INSTALAÇÃO E FORNECIMENTO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AA9FA-DC57-46F3-822E-C71501948FFA}">
  <sheetPr>
    <pageSetUpPr fitToPage="1"/>
  </sheetPr>
  <dimension ref="A1:K836"/>
  <sheetViews>
    <sheetView view="pageBreakPreview" zoomScale="80" zoomScaleNormal="90" zoomScaleSheetLayoutView="80" workbookViewId="0">
      <selection activeCell="J836" sqref="A1:J836"/>
    </sheetView>
  </sheetViews>
  <sheetFormatPr defaultColWidth="9.33203125" defaultRowHeight="12.75" x14ac:dyDescent="0.2"/>
  <cols>
    <col min="1" max="1" width="8.5" style="3" bestFit="1" customWidth="1"/>
    <col min="2" max="2" width="16.6640625" style="3" customWidth="1"/>
    <col min="3" max="3" width="10.1640625" style="1" bestFit="1" customWidth="1"/>
    <col min="4" max="4" width="144.83203125" style="4" customWidth="1"/>
    <col min="5" max="5" width="10.1640625" style="3" customWidth="1"/>
    <col min="6" max="6" width="10.83203125" style="5" customWidth="1"/>
    <col min="7" max="7" width="15.6640625" style="6" customWidth="1"/>
    <col min="8" max="8" width="9.1640625" style="3" bestFit="1" customWidth="1"/>
    <col min="9" max="9" width="13.83203125" style="3" customWidth="1"/>
    <col min="10" max="10" width="19.5" style="3" customWidth="1"/>
    <col min="11" max="11" width="8.83203125" style="22" customWidth="1"/>
    <col min="12" max="16384" width="9.33203125" style="1"/>
  </cols>
  <sheetData>
    <row r="1" spans="1:11" ht="15.75" x14ac:dyDescent="0.2">
      <c r="A1" s="114" t="s">
        <v>0</v>
      </c>
      <c r="B1" s="115"/>
      <c r="C1" s="115"/>
      <c r="D1" s="115"/>
      <c r="E1" s="115"/>
      <c r="F1" s="115"/>
      <c r="G1" s="115"/>
      <c r="H1" s="115"/>
      <c r="I1" s="118" t="s">
        <v>1</v>
      </c>
      <c r="J1" s="119"/>
      <c r="K1" s="1"/>
    </row>
    <row r="2" spans="1:11" ht="45.75" customHeight="1" x14ac:dyDescent="0.2">
      <c r="A2" s="116"/>
      <c r="B2" s="117"/>
      <c r="C2" s="117"/>
      <c r="D2" s="117"/>
      <c r="E2" s="117"/>
      <c r="F2" s="117"/>
      <c r="G2" s="117"/>
      <c r="H2" s="117"/>
      <c r="I2" s="120" t="s">
        <v>2</v>
      </c>
      <c r="J2" s="121"/>
      <c r="K2" s="1"/>
    </row>
    <row r="3" spans="1:11" x14ac:dyDescent="0.2">
      <c r="A3" s="122" t="s">
        <v>3</v>
      </c>
      <c r="B3" s="123"/>
      <c r="C3" s="123"/>
      <c r="D3" s="123"/>
      <c r="E3" s="123"/>
      <c r="F3" s="123"/>
      <c r="G3" s="123"/>
      <c r="H3" s="123"/>
      <c r="I3" s="124" t="s">
        <v>4</v>
      </c>
      <c r="J3" s="125"/>
      <c r="K3" s="1"/>
    </row>
    <row r="4" spans="1:11" x14ac:dyDescent="0.2">
      <c r="A4" s="126" t="s">
        <v>5</v>
      </c>
      <c r="B4" s="127"/>
      <c r="C4" s="127"/>
      <c r="D4" s="127"/>
      <c r="E4" s="127"/>
      <c r="F4" s="127"/>
      <c r="G4" s="127"/>
      <c r="H4" s="128"/>
      <c r="I4" s="132" t="s">
        <v>6</v>
      </c>
      <c r="J4" s="133"/>
      <c r="K4" s="1"/>
    </row>
    <row r="5" spans="1:11" x14ac:dyDescent="0.2">
      <c r="A5" s="129"/>
      <c r="B5" s="130"/>
      <c r="C5" s="130"/>
      <c r="D5" s="130"/>
      <c r="E5" s="130"/>
      <c r="F5" s="130"/>
      <c r="G5" s="130"/>
      <c r="H5" s="131"/>
      <c r="I5" s="134"/>
      <c r="J5" s="135"/>
      <c r="K5" s="1"/>
    </row>
    <row r="6" spans="1:11" x14ac:dyDescent="0.2">
      <c r="A6" s="136" t="s">
        <v>7</v>
      </c>
      <c r="B6" s="137"/>
      <c r="C6" s="137"/>
      <c r="D6" s="137"/>
      <c r="E6" s="137"/>
      <c r="F6" s="137"/>
      <c r="G6" s="137"/>
      <c r="H6" s="137"/>
      <c r="I6" s="138" t="s">
        <v>8</v>
      </c>
      <c r="J6" s="139"/>
      <c r="K6" s="1"/>
    </row>
    <row r="7" spans="1:11" x14ac:dyDescent="0.2">
      <c r="A7" s="136"/>
      <c r="B7" s="137"/>
      <c r="C7" s="137"/>
      <c r="D7" s="137"/>
      <c r="E7" s="137"/>
      <c r="F7" s="137"/>
      <c r="G7" s="137"/>
      <c r="H7" s="137"/>
      <c r="I7" s="140">
        <v>46100</v>
      </c>
      <c r="J7" s="141"/>
      <c r="K7" s="1"/>
    </row>
    <row r="8" spans="1:11" x14ac:dyDescent="0.2">
      <c r="A8" s="136" t="s">
        <v>9</v>
      </c>
      <c r="B8" s="137"/>
      <c r="C8" s="137"/>
      <c r="D8" s="137"/>
      <c r="E8" s="137"/>
      <c r="F8" s="137"/>
      <c r="G8" s="137"/>
      <c r="H8" s="137"/>
      <c r="I8" s="142"/>
      <c r="J8" s="143"/>
      <c r="K8" s="1"/>
    </row>
    <row r="9" spans="1:11" x14ac:dyDescent="0.2">
      <c r="A9" s="2"/>
      <c r="J9" s="7"/>
      <c r="K9" s="1"/>
    </row>
    <row r="10" spans="1:11" ht="52.5" customHeight="1" x14ac:dyDescent="0.2">
      <c r="A10" s="8" t="s">
        <v>10</v>
      </c>
      <c r="B10" s="8" t="s">
        <v>11</v>
      </c>
      <c r="C10" s="9" t="s">
        <v>12</v>
      </c>
      <c r="D10" s="10" t="s">
        <v>13</v>
      </c>
      <c r="E10" s="8" t="s">
        <v>14</v>
      </c>
      <c r="F10" s="8" t="s">
        <v>15</v>
      </c>
      <c r="G10" s="11" t="s">
        <v>16</v>
      </c>
      <c r="H10" s="8" t="s">
        <v>17</v>
      </c>
      <c r="I10" s="10" t="s">
        <v>18</v>
      </c>
      <c r="J10" s="10" t="s">
        <v>19</v>
      </c>
      <c r="K10" s="1"/>
    </row>
    <row r="11" spans="1:11" x14ac:dyDescent="0.2">
      <c r="A11" s="12">
        <v>1</v>
      </c>
      <c r="B11" s="12"/>
      <c r="C11" s="12"/>
      <c r="D11" s="13" t="s">
        <v>20</v>
      </c>
      <c r="E11" s="12"/>
      <c r="F11" s="14"/>
      <c r="G11" s="15"/>
      <c r="H11" s="12"/>
      <c r="I11" s="12"/>
      <c r="J11" s="12"/>
      <c r="K11" s="1"/>
    </row>
    <row r="12" spans="1:11" x14ac:dyDescent="0.2">
      <c r="A12" s="16" t="s">
        <v>21</v>
      </c>
      <c r="B12" s="16" t="s">
        <v>22</v>
      </c>
      <c r="C12" s="16">
        <v>103689</v>
      </c>
      <c r="D12" s="17" t="s">
        <v>23</v>
      </c>
      <c r="E12" s="16" t="s">
        <v>24</v>
      </c>
      <c r="F12" s="18">
        <v>1.5</v>
      </c>
      <c r="G12" s="19">
        <v>397.30700000000002</v>
      </c>
      <c r="H12" s="20">
        <v>0.26400000000000001</v>
      </c>
      <c r="I12" s="21">
        <f>ROUND((G12*(1+H12)),2)</f>
        <v>502.2</v>
      </c>
      <c r="J12" s="62">
        <f>ROUND((I12*F12),2)</f>
        <v>753.3</v>
      </c>
      <c r="K12" s="1"/>
    </row>
    <row r="13" spans="1:11" x14ac:dyDescent="0.2">
      <c r="A13" s="16" t="s">
        <v>25</v>
      </c>
      <c r="B13" s="16" t="s">
        <v>22</v>
      </c>
      <c r="C13" s="16" t="s">
        <v>26</v>
      </c>
      <c r="D13" s="17" t="s">
        <v>27</v>
      </c>
      <c r="E13" s="16" t="s">
        <v>28</v>
      </c>
      <c r="F13" s="18">
        <f>12*7</f>
        <v>84</v>
      </c>
      <c r="G13" s="19">
        <v>109.497</v>
      </c>
      <c r="H13" s="20">
        <v>0.26400000000000001</v>
      </c>
      <c r="I13" s="21">
        <f>ROUND((G13*(1+H13)),2)</f>
        <v>138.4</v>
      </c>
      <c r="J13" s="62">
        <f>ROUND((I13*F13),2)</f>
        <v>11625.6</v>
      </c>
      <c r="K13" s="1"/>
    </row>
    <row r="14" spans="1:11" x14ac:dyDescent="0.2">
      <c r="A14" s="16" t="s">
        <v>29</v>
      </c>
      <c r="B14" s="16" t="s">
        <v>22</v>
      </c>
      <c r="C14" s="16" t="s">
        <v>30</v>
      </c>
      <c r="D14" s="17" t="s">
        <v>31</v>
      </c>
      <c r="E14" s="16" t="s">
        <v>28</v>
      </c>
      <c r="F14" s="18">
        <f>36*7</f>
        <v>252</v>
      </c>
      <c r="G14" s="19">
        <v>52.614999999999995</v>
      </c>
      <c r="H14" s="20">
        <v>0.26400000000000001</v>
      </c>
      <c r="I14" s="21">
        <f>ROUND((G14*(1+H14)),2)</f>
        <v>66.510000000000005</v>
      </c>
      <c r="J14" s="62">
        <f>ROUND((I14*F14),2)</f>
        <v>16760.52</v>
      </c>
      <c r="K14" s="1"/>
    </row>
    <row r="15" spans="1:11" ht="38.25" customHeight="1" x14ac:dyDescent="0.2">
      <c r="A15" s="16" t="s">
        <v>32</v>
      </c>
      <c r="B15" s="16" t="s">
        <v>33</v>
      </c>
      <c r="C15" s="16">
        <v>10527</v>
      </c>
      <c r="D15" s="17" t="s">
        <v>34</v>
      </c>
      <c r="E15" s="16" t="s">
        <v>35</v>
      </c>
      <c r="F15" s="18">
        <f>80*6</f>
        <v>480</v>
      </c>
      <c r="G15" s="19">
        <v>42.5</v>
      </c>
      <c r="H15" s="20">
        <v>0.26400000000000001</v>
      </c>
      <c r="I15" s="21">
        <f>ROUND((G15*(1+H15)),2)</f>
        <v>53.72</v>
      </c>
      <c r="J15" s="62">
        <f>ROUND((I15*F15),2)</f>
        <v>25785.599999999999</v>
      </c>
    </row>
    <row r="16" spans="1:11" x14ac:dyDescent="0.2">
      <c r="A16" s="16" t="s">
        <v>36</v>
      </c>
      <c r="B16" s="16" t="s">
        <v>22</v>
      </c>
      <c r="C16" s="16">
        <v>97064</v>
      </c>
      <c r="D16" s="17" t="s">
        <v>37</v>
      </c>
      <c r="E16" s="16" t="s">
        <v>38</v>
      </c>
      <c r="F16" s="18">
        <v>100</v>
      </c>
      <c r="G16" s="19">
        <v>27.047000000000001</v>
      </c>
      <c r="H16" s="20">
        <v>0.26400000000000001</v>
      </c>
      <c r="I16" s="21">
        <f t="shared" ref="I16:I18" si="0">ROUND((G16*(1+H16)),2)</f>
        <v>34.19</v>
      </c>
      <c r="J16" s="62">
        <f t="shared" ref="J16:J18" si="1">ROUND((I16*F16),2)</f>
        <v>3419</v>
      </c>
    </row>
    <row r="17" spans="1:11" x14ac:dyDescent="0.2">
      <c r="A17" s="16" t="s">
        <v>39</v>
      </c>
      <c r="B17" s="16" t="s">
        <v>22</v>
      </c>
      <c r="C17" s="16">
        <v>98459</v>
      </c>
      <c r="D17" s="17" t="s">
        <v>40</v>
      </c>
      <c r="E17" s="16" t="s">
        <v>24</v>
      </c>
      <c r="F17" s="18">
        <v>60</v>
      </c>
      <c r="G17" s="19">
        <v>77.724000000000004</v>
      </c>
      <c r="H17" s="20">
        <v>0.26400000000000001</v>
      </c>
      <c r="I17" s="21">
        <f t="shared" si="0"/>
        <v>98.24</v>
      </c>
      <c r="J17" s="62">
        <f t="shared" si="1"/>
        <v>5894.4</v>
      </c>
    </row>
    <row r="18" spans="1:11" x14ac:dyDescent="0.2">
      <c r="A18" s="16" t="s">
        <v>41</v>
      </c>
      <c r="B18" s="16" t="s">
        <v>22</v>
      </c>
      <c r="C18" s="16">
        <v>102656</v>
      </c>
      <c r="D18" s="17" t="s">
        <v>42</v>
      </c>
      <c r="E18" s="16" t="s">
        <v>38</v>
      </c>
      <c r="F18" s="18">
        <v>201.08</v>
      </c>
      <c r="G18" s="19">
        <v>5.6440000000000001</v>
      </c>
      <c r="H18" s="20">
        <v>0.26400000000000001</v>
      </c>
      <c r="I18" s="21">
        <f t="shared" si="0"/>
        <v>7.13</v>
      </c>
      <c r="J18" s="62">
        <f t="shared" si="1"/>
        <v>1433.7</v>
      </c>
    </row>
    <row r="19" spans="1:11" x14ac:dyDescent="0.2">
      <c r="A19" s="144" t="s">
        <v>43</v>
      </c>
      <c r="B19" s="145"/>
      <c r="C19" s="145"/>
      <c r="D19" s="145"/>
      <c r="E19" s="145"/>
      <c r="F19" s="145"/>
      <c r="G19" s="145"/>
      <c r="H19" s="145"/>
      <c r="I19" s="146"/>
      <c r="J19" s="60">
        <f>SUM(J12:J18)</f>
        <v>65672.12</v>
      </c>
      <c r="K19" s="1"/>
    </row>
    <row r="20" spans="1:11" x14ac:dyDescent="0.2">
      <c r="A20" s="111" t="s">
        <v>44</v>
      </c>
      <c r="B20" s="112"/>
      <c r="C20" s="112"/>
      <c r="D20" s="112"/>
      <c r="E20" s="112"/>
      <c r="F20" s="112"/>
      <c r="G20" s="112"/>
      <c r="H20" s="112"/>
      <c r="I20" s="112"/>
      <c r="J20" s="113"/>
      <c r="K20" s="1"/>
    </row>
    <row r="21" spans="1:11" s="24" customFormat="1" x14ac:dyDescent="0.2">
      <c r="A21" s="12">
        <v>2</v>
      </c>
      <c r="B21" s="12"/>
      <c r="C21" s="12"/>
      <c r="D21" s="13" t="s">
        <v>45</v>
      </c>
      <c r="E21" s="12"/>
      <c r="F21" s="14"/>
      <c r="G21" s="15"/>
      <c r="H21" s="12"/>
      <c r="I21" s="12"/>
      <c r="J21" s="12"/>
      <c r="K21" s="23"/>
    </row>
    <row r="22" spans="1:11" s="24" customFormat="1" x14ac:dyDescent="0.2">
      <c r="A22" s="25" t="s">
        <v>46</v>
      </c>
      <c r="B22" s="25"/>
      <c r="C22" s="25"/>
      <c r="D22" s="26" t="s">
        <v>47</v>
      </c>
      <c r="E22" s="25"/>
      <c r="F22" s="27"/>
      <c r="G22" s="28"/>
      <c r="H22" s="25"/>
      <c r="I22" s="25"/>
      <c r="J22" s="25"/>
      <c r="K22" s="23"/>
    </row>
    <row r="23" spans="1:11" x14ac:dyDescent="0.2">
      <c r="A23" s="16" t="s">
        <v>48</v>
      </c>
      <c r="B23" s="16" t="s">
        <v>22</v>
      </c>
      <c r="C23" s="16" t="s">
        <v>49</v>
      </c>
      <c r="D23" s="17" t="s">
        <v>50</v>
      </c>
      <c r="E23" s="16" t="s">
        <v>51</v>
      </c>
      <c r="F23" s="18">
        <f>(4.6475+0.45+0.45+0.45+0.745+0.115+4.8781+1.79+3.05)*3.2+(70*0.6)</f>
        <v>95.041920000000005</v>
      </c>
      <c r="G23" s="19">
        <v>52.139000000000003</v>
      </c>
      <c r="H23" s="20">
        <v>0.26400000000000001</v>
      </c>
      <c r="I23" s="21">
        <f>ROUND((G23*(1+H23)),2)</f>
        <v>65.900000000000006</v>
      </c>
      <c r="J23" s="62">
        <f>ROUND((I23*F23),2)</f>
        <v>6263.26</v>
      </c>
    </row>
    <row r="24" spans="1:11" ht="25.5" x14ac:dyDescent="0.2">
      <c r="A24" s="16" t="s">
        <v>52</v>
      </c>
      <c r="B24" s="16" t="s">
        <v>22</v>
      </c>
      <c r="C24" s="16">
        <v>97629</v>
      </c>
      <c r="D24" s="17" t="s">
        <v>53</v>
      </c>
      <c r="E24" s="16" t="s">
        <v>51</v>
      </c>
      <c r="F24" s="18">
        <f>191.37*0.1</f>
        <v>19.137</v>
      </c>
      <c r="G24" s="19">
        <v>19.915500000000002</v>
      </c>
      <c r="H24" s="20">
        <v>0.26400000000000001</v>
      </c>
      <c r="I24" s="21">
        <f>ROUND((G24*(1+H24)),2)</f>
        <v>25.17</v>
      </c>
      <c r="J24" s="62">
        <f>ROUND((I24*F24),2)</f>
        <v>481.68</v>
      </c>
    </row>
    <row r="25" spans="1:11" ht="25.5" x14ac:dyDescent="0.2">
      <c r="A25" s="16" t="s">
        <v>54</v>
      </c>
      <c r="B25" s="16" t="s">
        <v>22</v>
      </c>
      <c r="C25" s="16">
        <v>97627</v>
      </c>
      <c r="D25" s="17" t="s">
        <v>55</v>
      </c>
      <c r="E25" s="16" t="s">
        <v>51</v>
      </c>
      <c r="F25" s="18">
        <f>((27.7+12)*0.1)+((0.05*3.3)*15)</f>
        <v>6.4450000000000003</v>
      </c>
      <c r="G25" s="19">
        <v>42.780499999999996</v>
      </c>
      <c r="H25" s="20">
        <v>0.26400000000000001</v>
      </c>
      <c r="I25" s="21">
        <f>ROUND((G25*(1+H25)),2)</f>
        <v>54.07</v>
      </c>
      <c r="J25" s="62">
        <f>ROUND((I25*F25),2)</f>
        <v>348.48</v>
      </c>
    </row>
    <row r="26" spans="1:11" ht="25.5" x14ac:dyDescent="0.2">
      <c r="A26" s="16" t="s">
        <v>56</v>
      </c>
      <c r="B26" s="16" t="s">
        <v>22</v>
      </c>
      <c r="C26" s="16">
        <v>104789</v>
      </c>
      <c r="D26" s="17" t="s">
        <v>57</v>
      </c>
      <c r="E26" s="16" t="s">
        <v>51</v>
      </c>
      <c r="F26" s="18">
        <f>(75.82*0.15)</f>
        <v>11.372999999999999</v>
      </c>
      <c r="G26" s="19">
        <v>200.64250000000001</v>
      </c>
      <c r="H26" s="20">
        <v>0.26400000000000001</v>
      </c>
      <c r="I26" s="21">
        <f>ROUND((G26*(1+H26)),2)</f>
        <v>253.61</v>
      </c>
      <c r="J26" s="62">
        <f>ROUND((I26*F26),2)</f>
        <v>2884.31</v>
      </c>
    </row>
    <row r="27" spans="1:11" x14ac:dyDescent="0.2">
      <c r="A27" s="16" t="s">
        <v>58</v>
      </c>
      <c r="B27" s="16" t="s">
        <v>22</v>
      </c>
      <c r="C27" s="29">
        <v>93358</v>
      </c>
      <c r="D27" s="30" t="s">
        <v>59</v>
      </c>
      <c r="E27" s="29" t="s">
        <v>51</v>
      </c>
      <c r="F27" s="31">
        <f>4.7089*1</f>
        <v>4.7088999999999999</v>
      </c>
      <c r="G27" s="19">
        <v>84.362499999999997</v>
      </c>
      <c r="H27" s="20">
        <v>0.26400000000000001</v>
      </c>
      <c r="I27" s="21">
        <f t="shared" ref="I27:I31" si="2">ROUND((G27*(1+H27)),2)</f>
        <v>106.63</v>
      </c>
      <c r="J27" s="62">
        <f t="shared" ref="J27:J31" si="3">ROUND((I27*F27),2)</f>
        <v>502.11</v>
      </c>
    </row>
    <row r="28" spans="1:11" x14ac:dyDescent="0.2">
      <c r="A28" s="16" t="s">
        <v>60</v>
      </c>
      <c r="B28" s="16" t="s">
        <v>22</v>
      </c>
      <c r="C28" s="16">
        <v>97663</v>
      </c>
      <c r="D28" s="17" t="s">
        <v>61</v>
      </c>
      <c r="E28" s="16" t="s">
        <v>62</v>
      </c>
      <c r="F28" s="18">
        <v>8</v>
      </c>
      <c r="G28" s="19">
        <v>12.869</v>
      </c>
      <c r="H28" s="20">
        <v>0.26400000000000001</v>
      </c>
      <c r="I28" s="21">
        <f t="shared" si="2"/>
        <v>16.27</v>
      </c>
      <c r="J28" s="62">
        <f t="shared" si="3"/>
        <v>130.16</v>
      </c>
    </row>
    <row r="29" spans="1:11" x14ac:dyDescent="0.2">
      <c r="A29" s="16" t="s">
        <v>63</v>
      </c>
      <c r="B29" s="16" t="s">
        <v>22</v>
      </c>
      <c r="C29" s="16">
        <v>97666</v>
      </c>
      <c r="D29" s="17" t="s">
        <v>64</v>
      </c>
      <c r="E29" s="16" t="s">
        <v>62</v>
      </c>
      <c r="F29" s="18">
        <v>6</v>
      </c>
      <c r="G29" s="19">
        <v>9.3839999999999986</v>
      </c>
      <c r="H29" s="20">
        <v>0.26400000000000001</v>
      </c>
      <c r="I29" s="21">
        <f t="shared" si="2"/>
        <v>11.86</v>
      </c>
      <c r="J29" s="62">
        <f t="shared" si="3"/>
        <v>71.16</v>
      </c>
    </row>
    <row r="30" spans="1:11" x14ac:dyDescent="0.2">
      <c r="A30" s="16" t="s">
        <v>65</v>
      </c>
      <c r="B30" s="16" t="s">
        <v>22</v>
      </c>
      <c r="C30" s="16">
        <v>97662</v>
      </c>
      <c r="D30" s="17" t="s">
        <v>66</v>
      </c>
      <c r="E30" s="16" t="s">
        <v>38</v>
      </c>
      <c r="F30" s="18">
        <v>50</v>
      </c>
      <c r="G30" s="19">
        <v>0.51</v>
      </c>
      <c r="H30" s="20">
        <v>0.26400000000000001</v>
      </c>
      <c r="I30" s="21">
        <f t="shared" si="2"/>
        <v>0.64</v>
      </c>
      <c r="J30" s="62">
        <f t="shared" si="3"/>
        <v>32</v>
      </c>
    </row>
    <row r="31" spans="1:11" x14ac:dyDescent="0.2">
      <c r="A31" s="16" t="s">
        <v>67</v>
      </c>
      <c r="B31" s="16" t="s">
        <v>22</v>
      </c>
      <c r="C31" s="16" t="s">
        <v>68</v>
      </c>
      <c r="D31" s="17" t="s">
        <v>69</v>
      </c>
      <c r="E31" s="16" t="s">
        <v>24</v>
      </c>
      <c r="F31" s="18">
        <f>13*(0.8*2.1)</f>
        <v>21.840000000000003</v>
      </c>
      <c r="G31" s="19">
        <v>9.6814999999999998</v>
      </c>
      <c r="H31" s="20">
        <v>0.26400000000000001</v>
      </c>
      <c r="I31" s="21">
        <f t="shared" si="2"/>
        <v>12.24</v>
      </c>
      <c r="J31" s="62">
        <f t="shared" si="3"/>
        <v>267.32</v>
      </c>
    </row>
    <row r="32" spans="1:11" x14ac:dyDescent="0.2">
      <c r="A32" s="16" t="s">
        <v>70</v>
      </c>
      <c r="B32" s="16" t="s">
        <v>22</v>
      </c>
      <c r="C32" s="16">
        <v>102191</v>
      </c>
      <c r="D32" s="17" t="s">
        <v>71</v>
      </c>
      <c r="E32" s="16" t="s">
        <v>24</v>
      </c>
      <c r="F32" s="18">
        <f>((1.5*0.8)*6)+(2.5*0.8)</f>
        <v>9.2000000000000011</v>
      </c>
      <c r="G32" s="19">
        <v>17.450500000000002</v>
      </c>
      <c r="H32" s="20">
        <v>0.26400000000000001</v>
      </c>
      <c r="I32" s="21">
        <f>ROUND((G32*(1+H32)),2)</f>
        <v>22.06</v>
      </c>
      <c r="J32" s="62">
        <f>ROUND((I32*F32),2)</f>
        <v>202.95</v>
      </c>
    </row>
    <row r="33" spans="1:10" x14ac:dyDescent="0.2">
      <c r="A33" s="16" t="s">
        <v>72</v>
      </c>
      <c r="B33" s="16" t="s">
        <v>22</v>
      </c>
      <c r="C33" s="16">
        <v>97655</v>
      </c>
      <c r="D33" s="17" t="s">
        <v>73</v>
      </c>
      <c r="E33" s="16" t="s">
        <v>24</v>
      </c>
      <c r="F33" s="18">
        <f>F32</f>
        <v>9.2000000000000011</v>
      </c>
      <c r="G33" s="19">
        <v>36.252499999999998</v>
      </c>
      <c r="H33" s="20">
        <v>0.26400000000000001</v>
      </c>
      <c r="I33" s="21">
        <f>ROUND((G33*(1+H33)),2)</f>
        <v>45.82</v>
      </c>
      <c r="J33" s="62">
        <f>ROUND((I33*F33),2)</f>
        <v>421.54</v>
      </c>
    </row>
    <row r="34" spans="1:10" x14ac:dyDescent="0.2">
      <c r="A34" s="16" t="s">
        <v>74</v>
      </c>
      <c r="B34" s="16" t="s">
        <v>22</v>
      </c>
      <c r="C34" s="16">
        <v>104803</v>
      </c>
      <c r="D34" s="17" t="s">
        <v>75</v>
      </c>
      <c r="E34" s="16" t="s">
        <v>38</v>
      </c>
      <c r="F34" s="18">
        <v>28.05</v>
      </c>
      <c r="G34" s="19">
        <v>4.8109999999999999</v>
      </c>
      <c r="H34" s="20">
        <v>0.26400000000000001</v>
      </c>
      <c r="I34" s="21">
        <f t="shared" ref="I34" si="4">ROUND((G34*(1+H34)),2)</f>
        <v>6.08</v>
      </c>
      <c r="J34" s="62">
        <f t="shared" ref="J34" si="5">ROUND((I34*F34),2)</f>
        <v>170.54</v>
      </c>
    </row>
    <row r="35" spans="1:10" x14ac:dyDescent="0.2">
      <c r="A35" s="16" t="s">
        <v>76</v>
      </c>
      <c r="B35" s="16" t="s">
        <v>22</v>
      </c>
      <c r="C35" s="16">
        <v>97651</v>
      </c>
      <c r="D35" s="17" t="s">
        <v>77</v>
      </c>
      <c r="E35" s="16" t="s">
        <v>62</v>
      </c>
      <c r="F35" s="18">
        <v>0</v>
      </c>
      <c r="G35" s="19">
        <v>86.037000000000006</v>
      </c>
      <c r="H35" s="20">
        <v>0.26400000000000001</v>
      </c>
      <c r="I35" s="21">
        <f>ROUND((G35*(1+H35)),2)</f>
        <v>108.75</v>
      </c>
      <c r="J35" s="62">
        <f>ROUND((I35*F35),2)</f>
        <v>0</v>
      </c>
    </row>
    <row r="36" spans="1:10" x14ac:dyDescent="0.2">
      <c r="A36" s="16" t="s">
        <v>78</v>
      </c>
      <c r="B36" s="16" t="s">
        <v>22</v>
      </c>
      <c r="C36" s="16">
        <v>97650</v>
      </c>
      <c r="D36" s="17" t="s">
        <v>79</v>
      </c>
      <c r="E36" s="16" t="s">
        <v>24</v>
      </c>
      <c r="F36" s="18">
        <v>0</v>
      </c>
      <c r="G36" s="19">
        <v>7.8964999999999996</v>
      </c>
      <c r="H36" s="20">
        <v>0.26400000000000001</v>
      </c>
      <c r="I36" s="21">
        <f>ROUND((G36*(1+H36)),2)</f>
        <v>9.98</v>
      </c>
      <c r="J36" s="62">
        <f>ROUND((I36*F36),2)</f>
        <v>0</v>
      </c>
    </row>
    <row r="37" spans="1:10" x14ac:dyDescent="0.2">
      <c r="A37" s="16" t="s">
        <v>80</v>
      </c>
      <c r="B37" s="16" t="s">
        <v>22</v>
      </c>
      <c r="C37" s="16">
        <v>97647</v>
      </c>
      <c r="D37" s="17" t="s">
        <v>81</v>
      </c>
      <c r="E37" s="16" t="s">
        <v>24</v>
      </c>
      <c r="F37" s="18">
        <v>293.73750000000001</v>
      </c>
      <c r="G37" s="19">
        <v>3.6634999999999995</v>
      </c>
      <c r="H37" s="20">
        <v>0.26400000000000001</v>
      </c>
      <c r="I37" s="21">
        <f>ROUND((G37*(1+H37)),2)</f>
        <v>4.63</v>
      </c>
      <c r="J37" s="62">
        <f>ROUND((I37*F37),2)</f>
        <v>1360</v>
      </c>
    </row>
    <row r="38" spans="1:10" x14ac:dyDescent="0.2">
      <c r="A38" s="16" t="s">
        <v>82</v>
      </c>
      <c r="B38" s="16" t="s">
        <v>22</v>
      </c>
      <c r="C38" s="16">
        <v>104792</v>
      </c>
      <c r="D38" s="17" t="s">
        <v>83</v>
      </c>
      <c r="E38" s="16" t="s">
        <v>38</v>
      </c>
      <c r="F38" s="18">
        <v>130</v>
      </c>
      <c r="G38" s="19">
        <v>0.4335</v>
      </c>
      <c r="H38" s="20">
        <v>0.26400000000000001</v>
      </c>
      <c r="I38" s="21">
        <f t="shared" ref="I38:I39" si="6">ROUND((G38*(1+H38)),2)</f>
        <v>0.55000000000000004</v>
      </c>
      <c r="J38" s="62">
        <f t="shared" ref="J38:J39" si="7">ROUND((I38*F38),2)</f>
        <v>71.5</v>
      </c>
    </row>
    <row r="39" spans="1:10" ht="25.5" x14ac:dyDescent="0.2">
      <c r="A39" s="16" t="s">
        <v>84</v>
      </c>
      <c r="B39" s="16" t="s">
        <v>22</v>
      </c>
      <c r="C39" s="16">
        <v>104793</v>
      </c>
      <c r="D39" s="17" t="s">
        <v>85</v>
      </c>
      <c r="E39" s="16" t="s">
        <v>38</v>
      </c>
      <c r="F39" s="18">
        <v>50</v>
      </c>
      <c r="G39" s="19">
        <v>0.59499999999999997</v>
      </c>
      <c r="H39" s="20">
        <v>0.26400000000000001</v>
      </c>
      <c r="I39" s="21">
        <f t="shared" si="6"/>
        <v>0.75</v>
      </c>
      <c r="J39" s="62">
        <f t="shared" si="7"/>
        <v>37.5</v>
      </c>
    </row>
    <row r="40" spans="1:10" x14ac:dyDescent="0.2">
      <c r="A40" s="16" t="s">
        <v>86</v>
      </c>
      <c r="B40" s="16" t="s">
        <v>22</v>
      </c>
      <c r="C40" s="16">
        <v>97660</v>
      </c>
      <c r="D40" s="17" t="s">
        <v>87</v>
      </c>
      <c r="E40" s="16" t="s">
        <v>62</v>
      </c>
      <c r="F40" s="18">
        <v>25</v>
      </c>
      <c r="G40" s="19">
        <v>0.73099999999999998</v>
      </c>
      <c r="H40" s="20">
        <v>0.26400000000000001</v>
      </c>
      <c r="I40" s="21">
        <f>ROUND((G40*(1+H40)),2)</f>
        <v>0.92</v>
      </c>
      <c r="J40" s="62">
        <f>ROUND((I40*F40),2)</f>
        <v>23</v>
      </c>
    </row>
    <row r="41" spans="1:10" x14ac:dyDescent="0.2">
      <c r="A41" s="16" t="s">
        <v>88</v>
      </c>
      <c r="B41" s="16" t="s">
        <v>22</v>
      </c>
      <c r="C41" s="16">
        <v>97665</v>
      </c>
      <c r="D41" s="17" t="s">
        <v>89</v>
      </c>
      <c r="E41" s="16" t="s">
        <v>62</v>
      </c>
      <c r="F41" s="18">
        <v>20</v>
      </c>
      <c r="G41" s="19">
        <v>1.9889999999999999</v>
      </c>
      <c r="H41" s="20">
        <v>0.26400000000000001</v>
      </c>
      <c r="I41" s="21">
        <f>ROUND((G41*(1+H41)),2)</f>
        <v>2.5099999999999998</v>
      </c>
      <c r="J41" s="62">
        <f>ROUND((I41*F41),2)</f>
        <v>50.2</v>
      </c>
    </row>
    <row r="42" spans="1:10" x14ac:dyDescent="0.2">
      <c r="A42" s="16" t="s">
        <v>90</v>
      </c>
      <c r="B42" s="16" t="s">
        <v>91</v>
      </c>
      <c r="C42" s="16" t="str">
        <f>'[4]Composição (2)'!B12</f>
        <v>Q01</v>
      </c>
      <c r="D42" s="17" t="str">
        <f>'[4]Composição (2)'!D12</f>
        <v>REMOÇÃO DE AR CONDICIONADO 9.000 A 12.000 BTUS COM REAPROVEITAMENTO</v>
      </c>
      <c r="E42" s="16" t="s">
        <v>62</v>
      </c>
      <c r="F42" s="18">
        <v>1</v>
      </c>
      <c r="G42" s="19">
        <v>137.60759819999998</v>
      </c>
      <c r="H42" s="20">
        <v>0.26400000000000001</v>
      </c>
      <c r="I42" s="21">
        <f>ROUND((G42*(1+H42)),2)</f>
        <v>173.94</v>
      </c>
      <c r="J42" s="62">
        <f>ROUND((I42*F42),2)</f>
        <v>173.94</v>
      </c>
    </row>
    <row r="43" spans="1:10" x14ac:dyDescent="0.2">
      <c r="A43" s="16" t="s">
        <v>92</v>
      </c>
      <c r="B43" s="16" t="s">
        <v>91</v>
      </c>
      <c r="C43" s="16" t="str">
        <f>'[4]Composição (2)'!B15</f>
        <v>Q02</v>
      </c>
      <c r="D43" s="17" t="str">
        <f>'[4]Composição (2)'!D15</f>
        <v>REMOÇÃO DE GUARDA CORPO/GRADIL, COM ALTURA DE 1,10M, COM REAPROVEITAMENTO</v>
      </c>
      <c r="E43" s="16" t="s">
        <v>38</v>
      </c>
      <c r="F43" s="18">
        <f>12.32+13.2</f>
        <v>25.52</v>
      </c>
      <c r="G43" s="19">
        <v>105.64649999999999</v>
      </c>
      <c r="H43" s="20">
        <v>0.26400000000000001</v>
      </c>
      <c r="I43" s="21">
        <f>ROUND((G43*(1+H43)),2)</f>
        <v>133.54</v>
      </c>
      <c r="J43" s="62">
        <f>ROUND((I43*F43),2)</f>
        <v>3407.94</v>
      </c>
    </row>
    <row r="44" spans="1:10" ht="25.5" x14ac:dyDescent="0.2">
      <c r="A44" s="16" t="s">
        <v>93</v>
      </c>
      <c r="B44" s="16" t="s">
        <v>22</v>
      </c>
      <c r="C44" s="32">
        <v>97634</v>
      </c>
      <c r="D44" s="33" t="s">
        <v>94</v>
      </c>
      <c r="E44" s="32" t="s">
        <v>24</v>
      </c>
      <c r="F44" s="18">
        <f>38.7+((1.85*0.21)*16)</f>
        <v>44.916000000000004</v>
      </c>
      <c r="G44" s="19">
        <v>3.468</v>
      </c>
      <c r="H44" s="20">
        <v>0.26400000000000001</v>
      </c>
      <c r="I44" s="21">
        <f t="shared" ref="I44:I49" si="8">ROUND((G44*(1+H44)),2)</f>
        <v>4.38</v>
      </c>
      <c r="J44" s="62">
        <f t="shared" ref="J44:J49" si="9">ROUND((I44*F44),2)</f>
        <v>196.73</v>
      </c>
    </row>
    <row r="45" spans="1:10" ht="25.5" x14ac:dyDescent="0.2">
      <c r="A45" s="16" t="s">
        <v>95</v>
      </c>
      <c r="B45" s="16" t="s">
        <v>22</v>
      </c>
      <c r="C45" s="16">
        <v>106122</v>
      </c>
      <c r="D45" s="17" t="s">
        <v>96</v>
      </c>
      <c r="E45" s="16" t="s">
        <v>51</v>
      </c>
      <c r="F45" s="18">
        <f>F23+F24+F25+F26</f>
        <v>131.99691999999999</v>
      </c>
      <c r="G45" s="19">
        <v>68.584000000000003</v>
      </c>
      <c r="H45" s="20">
        <v>0.26400000000000001</v>
      </c>
      <c r="I45" s="21">
        <f t="shared" si="8"/>
        <v>86.69</v>
      </c>
      <c r="J45" s="62">
        <f t="shared" si="9"/>
        <v>11442.81</v>
      </c>
    </row>
    <row r="46" spans="1:10" ht="25.5" x14ac:dyDescent="0.2">
      <c r="A46" s="16" t="s">
        <v>97</v>
      </c>
      <c r="B46" s="16" t="s">
        <v>22</v>
      </c>
      <c r="C46" s="16">
        <v>106123</v>
      </c>
      <c r="D46" s="17" t="s">
        <v>98</v>
      </c>
      <c r="E46" s="16" t="s">
        <v>51</v>
      </c>
      <c r="F46" s="18">
        <f>(F30*0.0079)+(F33*0.01)+(F34*0.002)+(F40*0.007)</f>
        <v>0.71810000000000007</v>
      </c>
      <c r="G46" s="19">
        <v>119.04</v>
      </c>
      <c r="H46" s="20">
        <v>0.26400000000000001</v>
      </c>
      <c r="I46" s="21">
        <f t="shared" si="8"/>
        <v>150.47</v>
      </c>
      <c r="J46" s="62">
        <f t="shared" si="9"/>
        <v>108.05</v>
      </c>
    </row>
    <row r="47" spans="1:10" ht="25.5" x14ac:dyDescent="0.2">
      <c r="A47" s="16" t="s">
        <v>99</v>
      </c>
      <c r="B47" s="16" t="s">
        <v>22</v>
      </c>
      <c r="C47" s="16">
        <v>106127</v>
      </c>
      <c r="D47" s="17" t="s">
        <v>100</v>
      </c>
      <c r="E47" s="16" t="s">
        <v>51</v>
      </c>
      <c r="F47" s="18">
        <f>F31*0.04</f>
        <v>0.87360000000000015</v>
      </c>
      <c r="G47" s="19">
        <v>68.584000000000003</v>
      </c>
      <c r="H47" s="20">
        <v>0.26400000000000001</v>
      </c>
      <c r="I47" s="21">
        <f t="shared" si="8"/>
        <v>86.69</v>
      </c>
      <c r="J47" s="62">
        <f t="shared" si="9"/>
        <v>75.73</v>
      </c>
    </row>
    <row r="48" spans="1:10" ht="25.5" x14ac:dyDescent="0.2">
      <c r="A48" s="16" t="s">
        <v>101</v>
      </c>
      <c r="B48" s="16" t="s">
        <v>22</v>
      </c>
      <c r="C48" s="16" t="s">
        <v>102</v>
      </c>
      <c r="D48" s="17" t="s">
        <v>103</v>
      </c>
      <c r="E48" s="16" t="s">
        <v>51</v>
      </c>
      <c r="F48" s="18">
        <f>(F32*0.01)+(F37*0.1)+F45+F46+F47</f>
        <v>163.05437000000001</v>
      </c>
      <c r="G48" s="19">
        <v>8.1260000000000012</v>
      </c>
      <c r="H48" s="20">
        <v>0.26400000000000001</v>
      </c>
      <c r="I48" s="21">
        <f t="shared" si="8"/>
        <v>10.27</v>
      </c>
      <c r="J48" s="62">
        <f t="shared" si="9"/>
        <v>1674.57</v>
      </c>
    </row>
    <row r="49" spans="1:11" x14ac:dyDescent="0.2">
      <c r="A49" s="16" t="s">
        <v>104</v>
      </c>
      <c r="B49" s="16" t="s">
        <v>22</v>
      </c>
      <c r="C49" s="16" t="s">
        <v>105</v>
      </c>
      <c r="D49" s="17" t="s">
        <v>106</v>
      </c>
      <c r="E49" s="16" t="s">
        <v>107</v>
      </c>
      <c r="F49" s="18">
        <f>F48*10</f>
        <v>1630.5437000000002</v>
      </c>
      <c r="G49" s="19">
        <v>2.2524999999999999</v>
      </c>
      <c r="H49" s="20">
        <v>0.26400000000000001</v>
      </c>
      <c r="I49" s="21">
        <f t="shared" si="8"/>
        <v>2.85</v>
      </c>
      <c r="J49" s="62">
        <f t="shared" si="9"/>
        <v>4647.05</v>
      </c>
    </row>
    <row r="50" spans="1:11" x14ac:dyDescent="0.2">
      <c r="A50" s="25"/>
      <c r="B50" s="25"/>
      <c r="C50" s="25"/>
      <c r="D50" s="25" t="s">
        <v>108</v>
      </c>
      <c r="E50" s="25"/>
      <c r="F50" s="25"/>
      <c r="G50" s="25"/>
      <c r="H50" s="25"/>
      <c r="I50" s="25"/>
      <c r="J50" s="61">
        <f>SUM(J23:J49)</f>
        <v>35044.530000000006</v>
      </c>
    </row>
    <row r="51" spans="1:11" s="24" customFormat="1" x14ac:dyDescent="0.2">
      <c r="A51" s="25" t="s">
        <v>109</v>
      </c>
      <c r="B51" s="25"/>
      <c r="C51" s="25"/>
      <c r="D51" s="26" t="s">
        <v>110</v>
      </c>
      <c r="E51" s="25"/>
      <c r="F51" s="27"/>
      <c r="G51" s="28"/>
      <c r="H51" s="25"/>
      <c r="I51" s="25"/>
      <c r="J51" s="61"/>
      <c r="K51" s="23"/>
    </row>
    <row r="52" spans="1:11" x14ac:dyDescent="0.2">
      <c r="A52" s="16" t="s">
        <v>111</v>
      </c>
      <c r="B52" s="16" t="s">
        <v>22</v>
      </c>
      <c r="C52" s="16" t="s">
        <v>49</v>
      </c>
      <c r="D52" s="17" t="s">
        <v>50</v>
      </c>
      <c r="E52" s="16" t="s">
        <v>51</v>
      </c>
      <c r="F52" s="18">
        <f>((8.0475+0.495+0.495+0.495+0.495+0.495+0.39+0.39+0.155+0.155+0.155+0.155)*3)+((0.6795*0.85)*2)</f>
        <v>36.922649999999983</v>
      </c>
      <c r="G52" s="19">
        <v>52.139000000000003</v>
      </c>
      <c r="H52" s="20">
        <v>0.26400000000000001</v>
      </c>
      <c r="I52" s="21">
        <f>ROUND((G52*(1+H52)),2)</f>
        <v>65.900000000000006</v>
      </c>
      <c r="J52" s="62">
        <f>ROUND((I52*F52),2)</f>
        <v>2433.1999999999998</v>
      </c>
    </row>
    <row r="53" spans="1:11" ht="25.5" x14ac:dyDescent="0.2">
      <c r="A53" s="16" t="s">
        <v>112</v>
      </c>
      <c r="B53" s="16" t="s">
        <v>22</v>
      </c>
      <c r="C53" s="16">
        <v>97629</v>
      </c>
      <c r="D53" s="17" t="s">
        <v>113</v>
      </c>
      <c r="E53" s="16" t="s">
        <v>51</v>
      </c>
      <c r="F53" s="18">
        <f>1.3+1.885</f>
        <v>3.1850000000000001</v>
      </c>
      <c r="G53" s="19">
        <v>19.915500000000002</v>
      </c>
      <c r="H53" s="20">
        <v>0.26400000000000001</v>
      </c>
      <c r="I53" s="21">
        <f>ROUND((G53*(1+H53)),2)</f>
        <v>25.17</v>
      </c>
      <c r="J53" s="62">
        <f>ROUND((I53*F53),2)</f>
        <v>80.17</v>
      </c>
    </row>
    <row r="54" spans="1:11" ht="25.5" x14ac:dyDescent="0.2">
      <c r="A54" s="16" t="s">
        <v>114</v>
      </c>
      <c r="B54" s="16" t="s">
        <v>22</v>
      </c>
      <c r="C54" s="16">
        <v>97627</v>
      </c>
      <c r="D54" s="17" t="s">
        <v>55</v>
      </c>
      <c r="E54" s="16" t="s">
        <v>51</v>
      </c>
      <c r="F54" s="18">
        <f>((0.06*3)*7)+((0.54*3.6)*7)</f>
        <v>14.868</v>
      </c>
      <c r="G54" s="19">
        <v>42.780499999999996</v>
      </c>
      <c r="H54" s="20">
        <v>0.26400000000000001</v>
      </c>
      <c r="I54" s="21">
        <f>ROUND((G54*(1+H54)),2)</f>
        <v>54.07</v>
      </c>
      <c r="J54" s="62">
        <f>ROUND((I54*F54),2)</f>
        <v>803.91</v>
      </c>
    </row>
    <row r="55" spans="1:11" ht="24.75" customHeight="1" x14ac:dyDescent="0.2">
      <c r="A55" s="16" t="s">
        <v>115</v>
      </c>
      <c r="B55" s="16" t="s">
        <v>22</v>
      </c>
      <c r="C55" s="16">
        <v>104789</v>
      </c>
      <c r="D55" s="17" t="s">
        <v>116</v>
      </c>
      <c r="E55" s="16" t="s">
        <v>51</v>
      </c>
      <c r="F55" s="18">
        <f>(69.47*0.15)+3.094+3.094</f>
        <v>16.608499999999999</v>
      </c>
      <c r="G55" s="19">
        <v>200.64250000000001</v>
      </c>
      <c r="H55" s="20">
        <v>0.26400000000000001</v>
      </c>
      <c r="I55" s="21">
        <f>ROUND((G55*(1+H55)),2)</f>
        <v>253.61</v>
      </c>
      <c r="J55" s="62">
        <f>ROUND((I55*F55),2)</f>
        <v>4212.08</v>
      </c>
    </row>
    <row r="56" spans="1:11" x14ac:dyDescent="0.2">
      <c r="A56" s="16" t="s">
        <v>117</v>
      </c>
      <c r="B56" s="16" t="s">
        <v>22</v>
      </c>
      <c r="C56" s="29">
        <v>93358</v>
      </c>
      <c r="D56" s="30" t="s">
        <v>59</v>
      </c>
      <c r="E56" s="29" t="s">
        <v>51</v>
      </c>
      <c r="F56" s="31">
        <f>(52.9336*0.9)+(16.34*1.26)</f>
        <v>68.228639999999999</v>
      </c>
      <c r="G56" s="19">
        <v>84.362499999999997</v>
      </c>
      <c r="H56" s="20">
        <v>0.26400000000000001</v>
      </c>
      <c r="I56" s="21">
        <f t="shared" ref="I56:I60" si="10">ROUND((G56*(1+H56)),2)</f>
        <v>106.63</v>
      </c>
      <c r="J56" s="62">
        <f t="shared" ref="J56:J60" si="11">ROUND((I56*F56),2)</f>
        <v>7275.22</v>
      </c>
    </row>
    <row r="57" spans="1:11" x14ac:dyDescent="0.2">
      <c r="A57" s="16" t="s">
        <v>118</v>
      </c>
      <c r="B57" s="16" t="s">
        <v>22</v>
      </c>
      <c r="C57" s="16">
        <v>97663</v>
      </c>
      <c r="D57" s="17" t="s">
        <v>61</v>
      </c>
      <c r="E57" s="16" t="s">
        <v>62</v>
      </c>
      <c r="F57" s="18">
        <v>12</v>
      </c>
      <c r="G57" s="19">
        <v>12.869</v>
      </c>
      <c r="H57" s="20">
        <v>0.26400000000000001</v>
      </c>
      <c r="I57" s="21">
        <f t="shared" si="10"/>
        <v>16.27</v>
      </c>
      <c r="J57" s="62">
        <f t="shared" si="11"/>
        <v>195.24</v>
      </c>
    </row>
    <row r="58" spans="1:11" x14ac:dyDescent="0.2">
      <c r="A58" s="16" t="s">
        <v>119</v>
      </c>
      <c r="B58" s="16" t="s">
        <v>22</v>
      </c>
      <c r="C58" s="16">
        <v>97666</v>
      </c>
      <c r="D58" s="17" t="s">
        <v>64</v>
      </c>
      <c r="E58" s="16" t="s">
        <v>62</v>
      </c>
      <c r="F58" s="18">
        <v>4</v>
      </c>
      <c r="G58" s="19">
        <v>9.3839999999999986</v>
      </c>
      <c r="H58" s="20">
        <v>0.26400000000000001</v>
      </c>
      <c r="I58" s="21">
        <f t="shared" si="10"/>
        <v>11.86</v>
      </c>
      <c r="J58" s="62">
        <f t="shared" si="11"/>
        <v>47.44</v>
      </c>
    </row>
    <row r="59" spans="1:11" x14ac:dyDescent="0.2">
      <c r="A59" s="16" t="s">
        <v>120</v>
      </c>
      <c r="B59" s="16" t="s">
        <v>22</v>
      </c>
      <c r="C59" s="16">
        <v>97662</v>
      </c>
      <c r="D59" s="17" t="s">
        <v>66</v>
      </c>
      <c r="E59" s="16" t="s">
        <v>38</v>
      </c>
      <c r="F59" s="18">
        <v>50</v>
      </c>
      <c r="G59" s="19">
        <v>0.51</v>
      </c>
      <c r="H59" s="20">
        <v>0.26400000000000001</v>
      </c>
      <c r="I59" s="21">
        <f t="shared" si="10"/>
        <v>0.64</v>
      </c>
      <c r="J59" s="62">
        <f t="shared" si="11"/>
        <v>32</v>
      </c>
    </row>
    <row r="60" spans="1:11" x14ac:dyDescent="0.2">
      <c r="A60" s="16" t="s">
        <v>121</v>
      </c>
      <c r="B60" s="16" t="s">
        <v>22</v>
      </c>
      <c r="C60" s="16" t="s">
        <v>68</v>
      </c>
      <c r="D60" s="17" t="s">
        <v>122</v>
      </c>
      <c r="E60" s="16" t="s">
        <v>24</v>
      </c>
      <c r="F60" s="18">
        <f>(0.7*2.1)*8</f>
        <v>11.76</v>
      </c>
      <c r="G60" s="19">
        <v>9.6814999999999998</v>
      </c>
      <c r="H60" s="20">
        <v>0.26400000000000001</v>
      </c>
      <c r="I60" s="21">
        <f t="shared" si="10"/>
        <v>12.24</v>
      </c>
      <c r="J60" s="62">
        <f t="shared" si="11"/>
        <v>143.94</v>
      </c>
    </row>
    <row r="61" spans="1:11" ht="27" customHeight="1" x14ac:dyDescent="0.2">
      <c r="A61" s="16" t="s">
        <v>123</v>
      </c>
      <c r="B61" s="16" t="s">
        <v>22</v>
      </c>
      <c r="C61" s="16">
        <v>102191</v>
      </c>
      <c r="D61" s="17" t="s">
        <v>124</v>
      </c>
      <c r="E61" s="16" t="s">
        <v>24</v>
      </c>
      <c r="F61" s="18">
        <f>(1.75+1.75+3.1+1.75+3.1)*0.8+(1.35*2.3)</f>
        <v>12.265000000000001</v>
      </c>
      <c r="G61" s="19">
        <v>17.450500000000002</v>
      </c>
      <c r="H61" s="20">
        <v>0.26400000000000001</v>
      </c>
      <c r="I61" s="21">
        <f>ROUND((G61*(1+H61)),2)</f>
        <v>22.06</v>
      </c>
      <c r="J61" s="62">
        <f>ROUND((I61*F61),2)</f>
        <v>270.57</v>
      </c>
    </row>
    <row r="62" spans="1:11" x14ac:dyDescent="0.2">
      <c r="A62" s="16" t="s">
        <v>125</v>
      </c>
      <c r="B62" s="16" t="s">
        <v>22</v>
      </c>
      <c r="C62" s="16">
        <v>97655</v>
      </c>
      <c r="D62" s="17" t="s">
        <v>73</v>
      </c>
      <c r="E62" s="16" t="s">
        <v>24</v>
      </c>
      <c r="F62" s="18">
        <f>F61</f>
        <v>12.265000000000001</v>
      </c>
      <c r="G62" s="19">
        <v>36.252499999999998</v>
      </c>
      <c r="H62" s="20">
        <v>0.26400000000000001</v>
      </c>
      <c r="I62" s="21">
        <f>ROUND((G62*(1+H62)),2)</f>
        <v>45.82</v>
      </c>
      <c r="J62" s="62">
        <f>ROUND((I62*F62),2)</f>
        <v>561.98</v>
      </c>
    </row>
    <row r="63" spans="1:11" x14ac:dyDescent="0.2">
      <c r="A63" s="16" t="s">
        <v>126</v>
      </c>
      <c r="B63" s="16" t="s">
        <v>22</v>
      </c>
      <c r="C63" s="16">
        <v>104803</v>
      </c>
      <c r="D63" s="17" t="s">
        <v>75</v>
      </c>
      <c r="E63" s="16" t="s">
        <v>38</v>
      </c>
      <c r="F63" s="18">
        <v>19.3</v>
      </c>
      <c r="G63" s="19">
        <v>4.8109999999999999</v>
      </c>
      <c r="H63" s="20">
        <v>0.26400000000000001</v>
      </c>
      <c r="I63" s="21">
        <f t="shared" ref="I63" si="12">ROUND((G63*(1+H63)),2)</f>
        <v>6.08</v>
      </c>
      <c r="J63" s="62">
        <f t="shared" ref="J63" si="13">ROUND((I63*F63),2)</f>
        <v>117.34</v>
      </c>
    </row>
    <row r="64" spans="1:11" x14ac:dyDescent="0.2">
      <c r="A64" s="16" t="s">
        <v>127</v>
      </c>
      <c r="B64" s="16" t="s">
        <v>22</v>
      </c>
      <c r="C64" s="16">
        <v>97651</v>
      </c>
      <c r="D64" s="17" t="s">
        <v>77</v>
      </c>
      <c r="E64" s="16" t="s">
        <v>62</v>
      </c>
      <c r="F64" s="18">
        <v>10</v>
      </c>
      <c r="G64" s="19">
        <v>86.037000000000006</v>
      </c>
      <c r="H64" s="20">
        <v>0.26400000000000001</v>
      </c>
      <c r="I64" s="21">
        <f>ROUND((G64*(1+H64)),2)</f>
        <v>108.75</v>
      </c>
      <c r="J64" s="62">
        <f>ROUND((I64*F64),2)</f>
        <v>1087.5</v>
      </c>
    </row>
    <row r="65" spans="1:11" x14ac:dyDescent="0.2">
      <c r="A65" s="16" t="s">
        <v>128</v>
      </c>
      <c r="B65" s="16" t="s">
        <v>22</v>
      </c>
      <c r="C65" s="16">
        <v>97650</v>
      </c>
      <c r="D65" s="17" t="s">
        <v>79</v>
      </c>
      <c r="E65" s="16" t="s">
        <v>24</v>
      </c>
      <c r="F65" s="18">
        <v>75</v>
      </c>
      <c r="G65" s="19">
        <v>7.8964999999999996</v>
      </c>
      <c r="H65" s="20">
        <v>0.26400000000000001</v>
      </c>
      <c r="I65" s="21">
        <f>ROUND((G65*(1+H65)),2)</f>
        <v>9.98</v>
      </c>
      <c r="J65" s="62">
        <f>ROUND((I65*F65),2)</f>
        <v>748.5</v>
      </c>
    </row>
    <row r="66" spans="1:11" x14ac:dyDescent="0.2">
      <c r="A66" s="16" t="s">
        <v>129</v>
      </c>
      <c r="B66" s="16" t="s">
        <v>22</v>
      </c>
      <c r="C66" s="16">
        <v>97647</v>
      </c>
      <c r="D66" s="17" t="s">
        <v>130</v>
      </c>
      <c r="E66" s="16" t="s">
        <v>24</v>
      </c>
      <c r="F66" s="18">
        <v>83.02</v>
      </c>
      <c r="G66" s="19">
        <v>3.6634999999999995</v>
      </c>
      <c r="H66" s="20">
        <v>0.26400000000000001</v>
      </c>
      <c r="I66" s="21">
        <f>ROUND((G66*(1+H66)),2)</f>
        <v>4.63</v>
      </c>
      <c r="J66" s="62">
        <f>ROUND((I66*F66),2)</f>
        <v>384.38</v>
      </c>
    </row>
    <row r="67" spans="1:11" x14ac:dyDescent="0.2">
      <c r="A67" s="16" t="s">
        <v>131</v>
      </c>
      <c r="B67" s="16" t="s">
        <v>22</v>
      </c>
      <c r="C67" s="16">
        <v>104792</v>
      </c>
      <c r="D67" s="17" t="s">
        <v>83</v>
      </c>
      <c r="E67" s="16" t="s">
        <v>38</v>
      </c>
      <c r="F67" s="18">
        <v>89</v>
      </c>
      <c r="G67" s="19">
        <v>0.4335</v>
      </c>
      <c r="H67" s="20">
        <v>0.26400000000000001</v>
      </c>
      <c r="I67" s="21">
        <f t="shared" ref="I67:I68" si="14">ROUND((G67*(1+H67)),2)</f>
        <v>0.55000000000000004</v>
      </c>
      <c r="J67" s="62">
        <f t="shared" ref="J67:J68" si="15">ROUND((I67*F67),2)</f>
        <v>48.95</v>
      </c>
    </row>
    <row r="68" spans="1:11" ht="25.5" x14ac:dyDescent="0.2">
      <c r="A68" s="16" t="s">
        <v>132</v>
      </c>
      <c r="B68" s="16" t="s">
        <v>22</v>
      </c>
      <c r="C68" s="16">
        <v>104793</v>
      </c>
      <c r="D68" s="17" t="s">
        <v>85</v>
      </c>
      <c r="E68" s="16" t="s">
        <v>38</v>
      </c>
      <c r="F68" s="18">
        <v>50</v>
      </c>
      <c r="G68" s="19">
        <v>0.59499999999999997</v>
      </c>
      <c r="H68" s="20">
        <v>0.26400000000000001</v>
      </c>
      <c r="I68" s="21">
        <f t="shared" si="14"/>
        <v>0.75</v>
      </c>
      <c r="J68" s="62">
        <f t="shared" si="15"/>
        <v>37.5</v>
      </c>
    </row>
    <row r="69" spans="1:11" x14ac:dyDescent="0.2">
      <c r="A69" s="16" t="s">
        <v>133</v>
      </c>
      <c r="B69" s="16" t="s">
        <v>22</v>
      </c>
      <c r="C69" s="16">
        <v>97660</v>
      </c>
      <c r="D69" s="17" t="s">
        <v>87</v>
      </c>
      <c r="E69" s="16" t="s">
        <v>62</v>
      </c>
      <c r="F69" s="18">
        <v>21</v>
      </c>
      <c r="G69" s="19">
        <v>0.73099999999999998</v>
      </c>
      <c r="H69" s="20">
        <v>0.26400000000000001</v>
      </c>
      <c r="I69" s="21">
        <f>ROUND((G69*(1+H69)),2)</f>
        <v>0.92</v>
      </c>
      <c r="J69" s="62">
        <f>ROUND((I69*F69),2)</f>
        <v>19.32</v>
      </c>
    </row>
    <row r="70" spans="1:11" x14ac:dyDescent="0.2">
      <c r="A70" s="16" t="s">
        <v>134</v>
      </c>
      <c r="B70" s="16" t="s">
        <v>22</v>
      </c>
      <c r="C70" s="16">
        <v>97665</v>
      </c>
      <c r="D70" s="17" t="s">
        <v>89</v>
      </c>
      <c r="E70" s="16" t="s">
        <v>62</v>
      </c>
      <c r="F70" s="18">
        <v>8</v>
      </c>
      <c r="G70" s="19">
        <v>1.9889999999999999</v>
      </c>
      <c r="H70" s="20">
        <v>0.26400000000000001</v>
      </c>
      <c r="I70" s="21">
        <f>ROUND((G70*(1+H70)),2)</f>
        <v>2.5099999999999998</v>
      </c>
      <c r="J70" s="62">
        <f>ROUND((I70*F70),2)</f>
        <v>20.079999999999998</v>
      </c>
    </row>
    <row r="71" spans="1:11" x14ac:dyDescent="0.2">
      <c r="A71" s="16" t="s">
        <v>135</v>
      </c>
      <c r="B71" s="16" t="s">
        <v>91</v>
      </c>
      <c r="C71" s="16" t="str">
        <f>'[4]Composição (2)'!B15</f>
        <v>Q02</v>
      </c>
      <c r="D71" s="17" t="str">
        <f>'[4]Composição (2)'!D15</f>
        <v>REMOÇÃO DE GUARDA CORPO/GRADIL, COM ALTURA DE 1,10M, COM REAPROVEITAMENTO</v>
      </c>
      <c r="E71" s="16" t="s">
        <v>38</v>
      </c>
      <c r="F71" s="18">
        <f>1.2+3.2+2.3+2.3+1.2+3.7</f>
        <v>13.899999999999999</v>
      </c>
      <c r="G71" s="19">
        <v>105.64649999999999</v>
      </c>
      <c r="H71" s="20">
        <v>0.26400000000000001</v>
      </c>
      <c r="I71" s="21">
        <f>ROUND((G71*(1+H71)),2)</f>
        <v>133.54</v>
      </c>
      <c r="J71" s="62">
        <f>ROUND((I71*F71),2)</f>
        <v>1856.21</v>
      </c>
    </row>
    <row r="72" spans="1:11" ht="25.5" x14ac:dyDescent="0.2">
      <c r="A72" s="16" t="s">
        <v>136</v>
      </c>
      <c r="B72" s="16" t="s">
        <v>22</v>
      </c>
      <c r="C72" s="16">
        <v>106122</v>
      </c>
      <c r="D72" s="17" t="s">
        <v>96</v>
      </c>
      <c r="E72" s="16" t="s">
        <v>51</v>
      </c>
      <c r="F72" s="18">
        <f>F55+F52+F53+F54</f>
        <v>71.58414999999998</v>
      </c>
      <c r="G72" s="19">
        <v>68.584000000000003</v>
      </c>
      <c r="H72" s="20">
        <v>0.26400000000000001</v>
      </c>
      <c r="I72" s="21">
        <f t="shared" ref="I72:I76" si="16">ROUND((G72*(1+H72)),2)</f>
        <v>86.69</v>
      </c>
      <c r="J72" s="62">
        <f t="shared" ref="J72:J76" si="17">ROUND((I72*F72),2)</f>
        <v>6205.63</v>
      </c>
    </row>
    <row r="73" spans="1:11" ht="25.5" x14ac:dyDescent="0.2">
      <c r="A73" s="16" t="s">
        <v>137</v>
      </c>
      <c r="B73" s="16" t="s">
        <v>22</v>
      </c>
      <c r="C73" s="16">
        <v>106123</v>
      </c>
      <c r="D73" s="17" t="s">
        <v>98</v>
      </c>
      <c r="E73" s="16" t="s">
        <v>51</v>
      </c>
      <c r="F73" s="18">
        <f>(F59*0.0079)+(F61*0.01)+(F62*0.002)+(F69*0.007)</f>
        <v>0.68918000000000013</v>
      </c>
      <c r="G73" s="19">
        <v>119.04</v>
      </c>
      <c r="H73" s="20">
        <v>0.26400000000000001</v>
      </c>
      <c r="I73" s="21">
        <f t="shared" si="16"/>
        <v>150.47</v>
      </c>
      <c r="J73" s="62">
        <f t="shared" si="17"/>
        <v>103.7</v>
      </c>
    </row>
    <row r="74" spans="1:11" ht="25.5" x14ac:dyDescent="0.2">
      <c r="A74" s="16" t="s">
        <v>138</v>
      </c>
      <c r="B74" s="16" t="s">
        <v>22</v>
      </c>
      <c r="C74" s="16">
        <v>106127</v>
      </c>
      <c r="D74" s="17" t="s">
        <v>100</v>
      </c>
      <c r="E74" s="16" t="s">
        <v>51</v>
      </c>
      <c r="F74" s="18">
        <f>F60*0.04</f>
        <v>0.47039999999999998</v>
      </c>
      <c r="G74" s="19">
        <v>68.584000000000003</v>
      </c>
      <c r="H74" s="20">
        <v>0.26400000000000001</v>
      </c>
      <c r="I74" s="21">
        <f t="shared" si="16"/>
        <v>86.69</v>
      </c>
      <c r="J74" s="62">
        <f t="shared" si="17"/>
        <v>40.78</v>
      </c>
    </row>
    <row r="75" spans="1:11" ht="25.5" x14ac:dyDescent="0.2">
      <c r="A75" s="16" t="s">
        <v>139</v>
      </c>
      <c r="B75" s="16" t="s">
        <v>22</v>
      </c>
      <c r="C75" s="16" t="s">
        <v>102</v>
      </c>
      <c r="D75" s="17" t="s">
        <v>103</v>
      </c>
      <c r="E75" s="16" t="s">
        <v>51</v>
      </c>
      <c r="F75" s="18">
        <f>(F61*0.01)+(F66*0.1)+F72+F73+F74</f>
        <v>81.168379999999971</v>
      </c>
      <c r="G75" s="19">
        <v>8.1260000000000012</v>
      </c>
      <c r="H75" s="20">
        <v>0.26400000000000001</v>
      </c>
      <c r="I75" s="21">
        <f t="shared" si="16"/>
        <v>10.27</v>
      </c>
      <c r="J75" s="62">
        <f t="shared" si="17"/>
        <v>833.6</v>
      </c>
    </row>
    <row r="76" spans="1:11" x14ac:dyDescent="0.2">
      <c r="A76" s="16" t="s">
        <v>140</v>
      </c>
      <c r="B76" s="16" t="s">
        <v>22</v>
      </c>
      <c r="C76" s="16" t="s">
        <v>105</v>
      </c>
      <c r="D76" s="17" t="s">
        <v>106</v>
      </c>
      <c r="E76" s="16" t="s">
        <v>107</v>
      </c>
      <c r="F76" s="18">
        <f>F75*10</f>
        <v>811.68379999999968</v>
      </c>
      <c r="G76" s="19">
        <v>2.2524999999999999</v>
      </c>
      <c r="H76" s="20">
        <v>0.26400000000000001</v>
      </c>
      <c r="I76" s="21">
        <f t="shared" si="16"/>
        <v>2.85</v>
      </c>
      <c r="J76" s="62">
        <f t="shared" si="17"/>
        <v>2313.3000000000002</v>
      </c>
    </row>
    <row r="77" spans="1:11" x14ac:dyDescent="0.2">
      <c r="A77" s="25"/>
      <c r="B77" s="25"/>
      <c r="C77" s="25"/>
      <c r="D77" s="25" t="s">
        <v>108</v>
      </c>
      <c r="E77" s="25"/>
      <c r="F77" s="25"/>
      <c r="G77" s="25"/>
      <c r="H77" s="25"/>
      <c r="I77" s="25"/>
      <c r="J77" s="61">
        <f>SUM(J52:J76)</f>
        <v>29872.54</v>
      </c>
    </row>
    <row r="78" spans="1:11" x14ac:dyDescent="0.2">
      <c r="A78" s="144" t="s">
        <v>43</v>
      </c>
      <c r="B78" s="145"/>
      <c r="C78" s="145"/>
      <c r="D78" s="145"/>
      <c r="E78" s="145"/>
      <c r="F78" s="145"/>
      <c r="G78" s="145"/>
      <c r="H78" s="145"/>
      <c r="I78" s="146"/>
      <c r="J78" s="60">
        <f>SUM(J50,J77)</f>
        <v>64917.070000000007</v>
      </c>
    </row>
    <row r="79" spans="1:11" x14ac:dyDescent="0.2">
      <c r="A79" s="111" t="s">
        <v>141</v>
      </c>
      <c r="B79" s="112"/>
      <c r="C79" s="112"/>
      <c r="D79" s="112"/>
      <c r="E79" s="112"/>
      <c r="F79" s="112"/>
      <c r="G79" s="112"/>
      <c r="H79" s="112"/>
      <c r="I79" s="112"/>
      <c r="J79" s="113"/>
      <c r="K79" s="1"/>
    </row>
    <row r="80" spans="1:11" s="24" customFormat="1" x14ac:dyDescent="0.2">
      <c r="A80" s="12">
        <v>3</v>
      </c>
      <c r="B80" s="12"/>
      <c r="C80" s="12"/>
      <c r="D80" s="13" t="s">
        <v>142</v>
      </c>
      <c r="E80" s="12"/>
      <c r="F80" s="14"/>
      <c r="G80" s="15"/>
      <c r="H80" s="12"/>
      <c r="I80" s="12"/>
      <c r="J80" s="12"/>
      <c r="K80" s="23"/>
    </row>
    <row r="81" spans="1:11" s="24" customFormat="1" x14ac:dyDescent="0.2">
      <c r="A81" s="25" t="s">
        <v>143</v>
      </c>
      <c r="B81" s="25"/>
      <c r="C81" s="25"/>
      <c r="D81" s="26" t="s">
        <v>144</v>
      </c>
      <c r="E81" s="25"/>
      <c r="F81" s="27"/>
      <c r="G81" s="28"/>
      <c r="H81" s="25"/>
      <c r="I81" s="25"/>
      <c r="J81" s="25"/>
      <c r="K81" s="23"/>
    </row>
    <row r="82" spans="1:11" ht="25.5" x14ac:dyDescent="0.2">
      <c r="A82" s="16" t="s">
        <v>145</v>
      </c>
      <c r="B82" s="16" t="s">
        <v>91</v>
      </c>
      <c r="C82" s="16" t="str">
        <f>'[4]Composição (2)'!B144</f>
        <v>Q18</v>
      </c>
      <c r="D82" s="17" t="str">
        <f>'[4]Composição (2)'!D144</f>
        <v>ALVENARIA DE VEDAÇÃO COM ELEMENTO VAZADO EM LOUÇA (COBOGÓ) DE 7X20X20CM E ARGAMASSA DE ASSENTAMENTO COM PREPARO EM BETONEIRA. AF_05/2020</v>
      </c>
      <c r="E82" s="16" t="s">
        <v>24</v>
      </c>
      <c r="F82" s="18">
        <f>(5.62*4.08)+(11.32*2.6)</f>
        <v>52.361600000000003</v>
      </c>
      <c r="G82" s="19">
        <v>226.7715</v>
      </c>
      <c r="H82" s="20">
        <v>0.26400000000000001</v>
      </c>
      <c r="I82" s="21">
        <f t="shared" ref="I82" si="18">ROUND((G82*(1+H82)),2)</f>
        <v>286.64</v>
      </c>
      <c r="J82" s="62">
        <f t="shared" ref="J82" si="19">ROUND((I82*F82),2)</f>
        <v>15008.93</v>
      </c>
    </row>
    <row r="83" spans="1:11" ht="38.25" x14ac:dyDescent="0.2">
      <c r="A83" s="16" t="s">
        <v>146</v>
      </c>
      <c r="B83" s="16" t="s">
        <v>22</v>
      </c>
      <c r="C83" s="16">
        <v>103360</v>
      </c>
      <c r="D83" s="17" t="s">
        <v>147</v>
      </c>
      <c r="E83" s="16" t="s">
        <v>24</v>
      </c>
      <c r="F83" s="18">
        <f>((((6.58+3.8+0.35+1.55+4.58+11.17+1+4.59+6.28+11.32+8.8+2.02+6.78)+(3.53+3.53+11.5+1.5+6.32+6.32+0.5+2.02+3.52+3.52+3.52))*3.8)+(18.13*0.45)+(15.82))-((2.1*2)+(0.7+1.75+3.12+2.86+2)+(10*1.89)+(3.05))</f>
        <v>422.87850000000009</v>
      </c>
      <c r="G83" s="19">
        <v>83.350999999999999</v>
      </c>
      <c r="H83" s="20">
        <v>0.26400000000000001</v>
      </c>
      <c r="I83" s="21">
        <f>ROUND((G83*(1+H83)),2)</f>
        <v>105.36</v>
      </c>
      <c r="J83" s="62">
        <f>ROUND((I83*F83),2)</f>
        <v>44554.48</v>
      </c>
    </row>
    <row r="84" spans="1:11" x14ac:dyDescent="0.2">
      <c r="A84" s="16" t="s">
        <v>148</v>
      </c>
      <c r="B84" s="16" t="s">
        <v>22</v>
      </c>
      <c r="C84" s="16">
        <v>105023</v>
      </c>
      <c r="D84" s="17" t="s">
        <v>149</v>
      </c>
      <c r="E84" s="16" t="s">
        <v>38</v>
      </c>
      <c r="F84" s="18">
        <f>((3*2)+(1+2+2.5+2.4+2.2)+(0.8*10)+(0.9*7)+(0.9*2)+(0.9*1))*1.2</f>
        <v>39.72</v>
      </c>
      <c r="G84" s="19">
        <v>75.021000000000001</v>
      </c>
      <c r="H84" s="20">
        <v>0.26400000000000001</v>
      </c>
      <c r="I84" s="21">
        <f t="shared" ref="I84:I90" si="20">ROUND((G84*(1+H84)),2)</f>
        <v>94.83</v>
      </c>
      <c r="J84" s="62">
        <f t="shared" ref="J84:J90" si="21">ROUND((I84*F84),2)</f>
        <v>3766.65</v>
      </c>
    </row>
    <row r="85" spans="1:11" x14ac:dyDescent="0.2">
      <c r="A85" s="16" t="s">
        <v>150</v>
      </c>
      <c r="B85" s="16" t="s">
        <v>22</v>
      </c>
      <c r="C85" s="16">
        <v>105029</v>
      </c>
      <c r="D85" s="17" t="s">
        <v>151</v>
      </c>
      <c r="E85" s="16" t="s">
        <v>38</v>
      </c>
      <c r="F85" s="18">
        <f>((3*2)+(1+2+2.5+2.4+2.2))*1.2</f>
        <v>19.32</v>
      </c>
      <c r="G85" s="19">
        <v>56.499499999999998</v>
      </c>
      <c r="H85" s="20">
        <v>0.26400000000000001</v>
      </c>
      <c r="I85" s="21">
        <f t="shared" si="20"/>
        <v>71.42</v>
      </c>
      <c r="J85" s="62">
        <f t="shared" si="21"/>
        <v>1379.83</v>
      </c>
    </row>
    <row r="86" spans="1:11" ht="25.5" x14ac:dyDescent="0.2">
      <c r="A86" s="16" t="s">
        <v>152</v>
      </c>
      <c r="B86" s="16" t="s">
        <v>22</v>
      </c>
      <c r="C86" s="16">
        <v>87905</v>
      </c>
      <c r="D86" s="17" t="s">
        <v>153</v>
      </c>
      <c r="E86" s="16" t="s">
        <v>24</v>
      </c>
      <c r="F86" s="18">
        <f>(F83*2)+(((6.58+3.8+0.35+1.55+4.58+11.17+1+4.59+6.28+11.32+8.8+2.02+6.78)+(3.53+3.53+11.5+1.5+6.32+6.32+0.5+2.02+3.52+3.52+3.52))*0.5)</f>
        <v>903.05700000000024</v>
      </c>
      <c r="G86" s="19">
        <v>8.2705000000000002</v>
      </c>
      <c r="H86" s="20">
        <v>0.26400000000000001</v>
      </c>
      <c r="I86" s="21">
        <f t="shared" si="20"/>
        <v>10.45</v>
      </c>
      <c r="J86" s="62">
        <f t="shared" si="21"/>
        <v>9436.9500000000007</v>
      </c>
    </row>
    <row r="87" spans="1:11" ht="39" customHeight="1" x14ac:dyDescent="0.2">
      <c r="A87" s="16" t="s">
        <v>154</v>
      </c>
      <c r="B87" s="16" t="s">
        <v>22</v>
      </c>
      <c r="C87" s="16">
        <v>87775</v>
      </c>
      <c r="D87" s="17" t="s">
        <v>155</v>
      </c>
      <c r="E87" s="16" t="s">
        <v>24</v>
      </c>
      <c r="F87" s="18">
        <f>F86</f>
        <v>903.05700000000024</v>
      </c>
      <c r="G87" s="19">
        <v>54.06</v>
      </c>
      <c r="H87" s="20">
        <v>0.26400000000000001</v>
      </c>
      <c r="I87" s="21">
        <f t="shared" si="20"/>
        <v>68.33</v>
      </c>
      <c r="J87" s="62">
        <f t="shared" si="21"/>
        <v>61705.88</v>
      </c>
    </row>
    <row r="88" spans="1:11" ht="25.5" x14ac:dyDescent="0.2">
      <c r="A88" s="16" t="s">
        <v>156</v>
      </c>
      <c r="B88" s="16" t="s">
        <v>22</v>
      </c>
      <c r="C88" s="16">
        <v>88413</v>
      </c>
      <c r="D88" s="17" t="s">
        <v>157</v>
      </c>
      <c r="E88" s="16" t="s">
        <v>24</v>
      </c>
      <c r="F88" s="18">
        <f>((F86*1.1)-F91)+F102</f>
        <v>857.66990000000033</v>
      </c>
      <c r="G88" s="19">
        <v>4.9130000000000003</v>
      </c>
      <c r="H88" s="20">
        <v>0.26400000000000001</v>
      </c>
      <c r="I88" s="21">
        <f t="shared" si="20"/>
        <v>6.21</v>
      </c>
      <c r="J88" s="62">
        <f t="shared" si="21"/>
        <v>5326.13</v>
      </c>
    </row>
    <row r="89" spans="1:11" x14ac:dyDescent="0.2">
      <c r="A89" s="16" t="s">
        <v>158</v>
      </c>
      <c r="B89" s="16" t="s">
        <v>22</v>
      </c>
      <c r="C89" s="16">
        <v>88497</v>
      </c>
      <c r="D89" s="17" t="s">
        <v>159</v>
      </c>
      <c r="E89" s="16" t="s">
        <v>24</v>
      </c>
      <c r="F89" s="18">
        <f>F88</f>
        <v>857.66990000000033</v>
      </c>
      <c r="G89" s="19">
        <v>17.926500000000001</v>
      </c>
      <c r="H89" s="20">
        <v>0.26400000000000001</v>
      </c>
      <c r="I89" s="21">
        <f t="shared" si="20"/>
        <v>22.66</v>
      </c>
      <c r="J89" s="62">
        <f t="shared" si="21"/>
        <v>19434.8</v>
      </c>
    </row>
    <row r="90" spans="1:11" ht="25.5" x14ac:dyDescent="0.2">
      <c r="A90" s="16" t="s">
        <v>160</v>
      </c>
      <c r="B90" s="16" t="s">
        <v>22</v>
      </c>
      <c r="C90" s="16">
        <v>88424</v>
      </c>
      <c r="D90" s="17" t="s">
        <v>161</v>
      </c>
      <c r="E90" s="16" t="s">
        <v>24</v>
      </c>
      <c r="F90" s="18">
        <f>F88</f>
        <v>857.66990000000033</v>
      </c>
      <c r="G90" s="19">
        <v>21.547499999999999</v>
      </c>
      <c r="H90" s="20">
        <v>0.26400000000000001</v>
      </c>
      <c r="I90" s="21">
        <f t="shared" si="20"/>
        <v>27.24</v>
      </c>
      <c r="J90" s="62">
        <f t="shared" si="21"/>
        <v>23362.93</v>
      </c>
    </row>
    <row r="91" spans="1:11" ht="25.5" x14ac:dyDescent="0.2">
      <c r="A91" s="16" t="s">
        <v>162</v>
      </c>
      <c r="B91" s="16" t="s">
        <v>22</v>
      </c>
      <c r="C91" s="16">
        <v>104612</v>
      </c>
      <c r="D91" s="17" t="s">
        <v>163</v>
      </c>
      <c r="E91" s="16" t="s">
        <v>24</v>
      </c>
      <c r="F91" s="18">
        <f>((16.22+14.5+18+22.5+8.06+15.92+8.06)-((0.9*8)+(2.4+2.2)))*1.8</f>
        <v>164.62800000000001</v>
      </c>
      <c r="G91" s="19">
        <v>77.24799999999999</v>
      </c>
      <c r="H91" s="20">
        <v>0.26400000000000001</v>
      </c>
      <c r="I91" s="21">
        <f>ROUND((G91*(1+H91)),2)</f>
        <v>97.64</v>
      </c>
      <c r="J91" s="62">
        <f>ROUND((I91*F91),2)</f>
        <v>16074.28</v>
      </c>
    </row>
    <row r="92" spans="1:11" x14ac:dyDescent="0.2">
      <c r="A92" s="16" t="s">
        <v>164</v>
      </c>
      <c r="B92" s="16" t="s">
        <v>22</v>
      </c>
      <c r="C92" s="29">
        <v>100717</v>
      </c>
      <c r="D92" s="30" t="s">
        <v>165</v>
      </c>
      <c r="E92" s="29" t="s">
        <v>24</v>
      </c>
      <c r="F92" s="31">
        <v>30</v>
      </c>
      <c r="G92" s="19">
        <v>9.9109999999999996</v>
      </c>
      <c r="H92" s="20">
        <v>0.26400000000000001</v>
      </c>
      <c r="I92" s="21">
        <f>ROUND((G92*(1+H92)),2)</f>
        <v>12.53</v>
      </c>
      <c r="J92" s="62">
        <f>ROUND((I92*F92),2)</f>
        <v>375.9</v>
      </c>
    </row>
    <row r="93" spans="1:11" x14ac:dyDescent="0.2">
      <c r="A93" s="16" t="s">
        <v>166</v>
      </c>
      <c r="B93" s="16" t="s">
        <v>167</v>
      </c>
      <c r="C93" s="16">
        <v>5212552</v>
      </c>
      <c r="D93" s="17" t="s">
        <v>168</v>
      </c>
      <c r="E93" s="16" t="s">
        <v>24</v>
      </c>
      <c r="F93" s="18">
        <v>30</v>
      </c>
      <c r="G93" s="19">
        <v>14.025</v>
      </c>
      <c r="H93" s="20">
        <v>0.26400000000000001</v>
      </c>
      <c r="I93" s="21">
        <f t="shared" ref="I93" si="22">ROUND((G93*(1+H93)),2)</f>
        <v>17.73</v>
      </c>
      <c r="J93" s="62">
        <f t="shared" ref="J93" si="23">ROUND((I93*F93),2)</f>
        <v>531.9</v>
      </c>
    </row>
    <row r="94" spans="1:11" ht="25.5" x14ac:dyDescent="0.2">
      <c r="A94" s="16" t="s">
        <v>169</v>
      </c>
      <c r="B94" s="16" t="s">
        <v>91</v>
      </c>
      <c r="C94" s="29" t="str">
        <f>'[4]Composição (2)'!B174</f>
        <v>Q25</v>
      </c>
      <c r="D94" s="30" t="str">
        <f>'[4]Composição (2)'!D174</f>
        <v>CORRIMÃO DUPLO FIXADO EM PAREDE OU ESTRUTURA METÁLICA, DIÂMETRO EXTERNO = 1 1/2", EM AÇO GALVANIZADO (COM PINTURA DE PROTEÇÃO). AF_10/2025</v>
      </c>
      <c r="E94" s="29" t="s">
        <v>38</v>
      </c>
      <c r="F94" s="31">
        <f>(2.28*4)+12.15+6.95</f>
        <v>28.22</v>
      </c>
      <c r="G94" s="19">
        <v>145.6985</v>
      </c>
      <c r="H94" s="20">
        <v>0.26400000000000001</v>
      </c>
      <c r="I94" s="21">
        <f>ROUND((G94*(1+H94)),2)</f>
        <v>184.16</v>
      </c>
      <c r="J94" s="62">
        <f>ROUND((I94*F94),2)</f>
        <v>5197</v>
      </c>
    </row>
    <row r="95" spans="1:11" ht="40.5" customHeight="1" x14ac:dyDescent="0.2">
      <c r="A95" s="16" t="s">
        <v>170</v>
      </c>
      <c r="B95" s="16" t="s">
        <v>22</v>
      </c>
      <c r="C95" s="29">
        <v>99842</v>
      </c>
      <c r="D95" s="30" t="s">
        <v>171</v>
      </c>
      <c r="E95" s="29" t="s">
        <v>38</v>
      </c>
      <c r="F95" s="31">
        <f>4.04+1.34</f>
        <v>5.38</v>
      </c>
      <c r="G95" s="19">
        <v>407.34399999999999</v>
      </c>
      <c r="H95" s="20">
        <v>0.26400000000000001</v>
      </c>
      <c r="I95" s="21">
        <f>ROUND((G95*(1+H95)),2)</f>
        <v>514.88</v>
      </c>
      <c r="J95" s="62">
        <f>ROUND((I95*F95),2)</f>
        <v>2770.05</v>
      </c>
    </row>
    <row r="96" spans="1:11" ht="25.5" x14ac:dyDescent="0.2">
      <c r="A96" s="16" t="s">
        <v>172</v>
      </c>
      <c r="B96" s="16" t="s">
        <v>173</v>
      </c>
      <c r="C96" s="29">
        <v>9</v>
      </c>
      <c r="D96" s="30" t="str">
        <f>[4]Cotação!C83</f>
        <v>ELEVADOR PARA ACESSIBILIDADE COM PERCURSO VERTICAL ATÉ 12M, SEM CASA DE MÁQUINAS, PARA 08 PASSAGEIROS (600kg), EM AÇO INOX, ACESSO PELO MESMO LADO. INCLUSO FORNECIMENTO E INSTALAÇÕES</v>
      </c>
      <c r="E96" s="29" t="s">
        <v>174</v>
      </c>
      <c r="F96" s="31">
        <v>1</v>
      </c>
      <c r="G96" s="19">
        <v>77013.333333333343</v>
      </c>
      <c r="H96" s="20">
        <v>0.26400000000000001</v>
      </c>
      <c r="I96" s="21">
        <f>ROUND((G96*(1+H96)),2)</f>
        <v>97344.85</v>
      </c>
      <c r="J96" s="62">
        <f>ROUND((I96*F96),2)</f>
        <v>97344.85</v>
      </c>
    </row>
    <row r="97" spans="1:11" x14ac:dyDescent="0.2">
      <c r="A97" s="25"/>
      <c r="B97" s="25"/>
      <c r="C97" s="25"/>
      <c r="D97" s="25" t="s">
        <v>108</v>
      </c>
      <c r="E97" s="25"/>
      <c r="F97" s="25"/>
      <c r="G97" s="25"/>
      <c r="H97" s="25"/>
      <c r="I97" s="25"/>
      <c r="J97" s="61">
        <f>SUM(J82:J96)</f>
        <v>306270.55999999994</v>
      </c>
    </row>
    <row r="98" spans="1:11" x14ac:dyDescent="0.2">
      <c r="A98" s="25" t="s">
        <v>175</v>
      </c>
      <c r="B98" s="26"/>
      <c r="C98" s="26"/>
      <c r="D98" s="26" t="s">
        <v>176</v>
      </c>
      <c r="E98" s="25"/>
      <c r="F98" s="34"/>
      <c r="G98" s="28"/>
      <c r="H98" s="25"/>
      <c r="I98" s="25"/>
      <c r="J98" s="61"/>
    </row>
    <row r="99" spans="1:11" ht="25.5" x14ac:dyDescent="0.2">
      <c r="A99" s="16" t="s">
        <v>177</v>
      </c>
      <c r="B99" s="16" t="s">
        <v>91</v>
      </c>
      <c r="C99" s="16" t="str">
        <f>'[4]Composição (2)'!B100</f>
        <v>Q14</v>
      </c>
      <c r="D99" s="17" t="str">
        <f>'[4]Composição (2)'!D100</f>
        <v>PAREDE COM SISTEMA EM CHAPAS DE GESSO RU (ÁREA MOLHADA) PARA DRYWALL, USO INTERNO, COM DUAS FACES SIMPLES E ESTRUTURA METÁLICA COM GUIAS SIMPLES PARA PAREDES COM ÁREA LÍQUIDA MAIOR OU IGUAL A 6 M2.</v>
      </c>
      <c r="E99" s="16" t="s">
        <v>24</v>
      </c>
      <c r="F99" s="18">
        <f>((0.5+2.03)*3.92)+(((0.4+0.25)*3.5)*2)</f>
        <v>14.467599999999997</v>
      </c>
      <c r="G99" s="19">
        <v>226.01499999999999</v>
      </c>
      <c r="H99" s="20">
        <v>0.26400000000000001</v>
      </c>
      <c r="I99" s="21">
        <f>ROUND((G99*(1+H99)),2)</f>
        <v>285.68</v>
      </c>
      <c r="J99" s="62">
        <f>ROUND((I99*F99),2)</f>
        <v>4133.1000000000004</v>
      </c>
    </row>
    <row r="100" spans="1:11" ht="25.5" x14ac:dyDescent="0.2">
      <c r="A100" s="16" t="s">
        <v>178</v>
      </c>
      <c r="B100" s="16" t="s">
        <v>91</v>
      </c>
      <c r="C100" s="16" t="str">
        <f>'[4]Composição (2)'!B112</f>
        <v>Q14.1</v>
      </c>
      <c r="D100" s="17" t="str">
        <f>'[4]Composição (2)'!D112</f>
        <v>PAREDE COM SISTEMA EM CHAPAS DE GESSO RU (ÁREA MOLHADA) PARA DRYWALL, USO INTERNO, COM UMA FACE SIMPLES E ESTRUTURA METÁLICA COM GUIA SIMPLES PARA PAREDES COM ÁREA LÍQUIDA MAIOR OU IGUAL A 6 M2.</v>
      </c>
      <c r="E100" s="16" t="s">
        <v>24</v>
      </c>
      <c r="F100" s="18">
        <f>(0.2+0.25+0.25+0.4+0.25+0.4)*3.6</f>
        <v>6.3</v>
      </c>
      <c r="G100" s="19">
        <v>91.409000000000006</v>
      </c>
      <c r="H100" s="20">
        <v>0.26400000000000001</v>
      </c>
      <c r="I100" s="21">
        <f>ROUND((G100*(1+H100)),2)</f>
        <v>115.54</v>
      </c>
      <c r="J100" s="62">
        <f>ROUND((I100*F100),2)</f>
        <v>727.9</v>
      </c>
    </row>
    <row r="101" spans="1:11" ht="25.5" x14ac:dyDescent="0.2">
      <c r="A101" s="16" t="s">
        <v>179</v>
      </c>
      <c r="B101" s="16" t="s">
        <v>22</v>
      </c>
      <c r="C101" s="16">
        <v>104719</v>
      </c>
      <c r="D101" s="17" t="s">
        <v>180</v>
      </c>
      <c r="E101" s="16" t="s">
        <v>24</v>
      </c>
      <c r="F101" s="18">
        <v>0</v>
      </c>
      <c r="G101" s="19">
        <v>164.48349999999999</v>
      </c>
      <c r="H101" s="20">
        <v>0.26400000000000001</v>
      </c>
      <c r="I101" s="21">
        <f>ROUND((G101*(1+H101)),2)</f>
        <v>207.91</v>
      </c>
      <c r="J101" s="62">
        <f>ROUND((I101*F101),2)</f>
        <v>0</v>
      </c>
    </row>
    <row r="102" spans="1:11" x14ac:dyDescent="0.2">
      <c r="A102" s="16" t="s">
        <v>181</v>
      </c>
      <c r="B102" s="16" t="s">
        <v>22</v>
      </c>
      <c r="C102" s="16">
        <v>88495</v>
      </c>
      <c r="D102" s="17" t="s">
        <v>182</v>
      </c>
      <c r="E102" s="16" t="s">
        <v>24</v>
      </c>
      <c r="F102" s="18">
        <f>F99*2</f>
        <v>28.935199999999995</v>
      </c>
      <c r="G102" s="19">
        <v>11.5685</v>
      </c>
      <c r="H102" s="20">
        <v>0.26400000000000001</v>
      </c>
      <c r="I102" s="21">
        <f>ROUND((G102*(1+H102)),2)</f>
        <v>14.62</v>
      </c>
      <c r="J102" s="62">
        <f>ROUND((I102*F102),2)</f>
        <v>423.03</v>
      </c>
    </row>
    <row r="103" spans="1:11" x14ac:dyDescent="0.2">
      <c r="A103" s="16" t="s">
        <v>183</v>
      </c>
      <c r="B103" s="16" t="s">
        <v>22</v>
      </c>
      <c r="C103" s="16">
        <v>102253</v>
      </c>
      <c r="D103" s="17" t="s">
        <v>184</v>
      </c>
      <c r="E103" s="16" t="s">
        <v>24</v>
      </c>
      <c r="F103" s="18">
        <f>((1.25*9)*2.1)+(((4.6+4.58)-(10*0.8))*2.1)+((0.45*1.2)*2)</f>
        <v>27.183</v>
      </c>
      <c r="G103" s="19">
        <v>868.70849999999996</v>
      </c>
      <c r="H103" s="20">
        <v>0.26400000000000001</v>
      </c>
      <c r="I103" s="21">
        <f>ROUND((G103*(1+H103)),2)</f>
        <v>1098.05</v>
      </c>
      <c r="J103" s="62">
        <f>ROUND((I103*F103),2)</f>
        <v>29848.29</v>
      </c>
    </row>
    <row r="104" spans="1:11" x14ac:dyDescent="0.2">
      <c r="A104" s="25"/>
      <c r="B104" s="25"/>
      <c r="C104" s="25"/>
      <c r="D104" s="25" t="s">
        <v>108</v>
      </c>
      <c r="E104" s="25"/>
      <c r="F104" s="25"/>
      <c r="G104" s="25"/>
      <c r="H104" s="25"/>
      <c r="I104" s="25"/>
      <c r="J104" s="61">
        <f>SUM(J99:J103)</f>
        <v>35132.32</v>
      </c>
    </row>
    <row r="105" spans="1:11" s="24" customFormat="1" x14ac:dyDescent="0.2">
      <c r="A105" s="25" t="s">
        <v>185</v>
      </c>
      <c r="B105" s="25"/>
      <c r="C105" s="25"/>
      <c r="D105" s="26" t="s">
        <v>186</v>
      </c>
      <c r="E105" s="25"/>
      <c r="F105" s="27"/>
      <c r="G105" s="28"/>
      <c r="H105" s="25"/>
      <c r="I105" s="25"/>
      <c r="J105" s="61"/>
      <c r="K105" s="23"/>
    </row>
    <row r="106" spans="1:11" x14ac:dyDescent="0.2">
      <c r="A106" s="16" t="s">
        <v>187</v>
      </c>
      <c r="B106" s="16" t="s">
        <v>22</v>
      </c>
      <c r="C106" s="29">
        <v>96485</v>
      </c>
      <c r="D106" s="30" t="s">
        <v>188</v>
      </c>
      <c r="E106" s="29" t="s">
        <v>24</v>
      </c>
      <c r="F106" s="31">
        <v>106.96</v>
      </c>
      <c r="G106" s="19">
        <v>63.928499999999993</v>
      </c>
      <c r="H106" s="20">
        <v>0.26400000000000001</v>
      </c>
      <c r="I106" s="21">
        <f t="shared" ref="I106:I109" si="24">ROUND((G106*(1+H106)),2)</f>
        <v>80.81</v>
      </c>
      <c r="J106" s="62">
        <f t="shared" ref="J106:J109" si="25">ROUND((I106*F106),2)</f>
        <v>8643.44</v>
      </c>
    </row>
    <row r="107" spans="1:11" x14ac:dyDescent="0.2">
      <c r="A107" s="16" t="s">
        <v>189</v>
      </c>
      <c r="B107" s="16" t="s">
        <v>173</v>
      </c>
      <c r="C107" s="29">
        <v>17</v>
      </c>
      <c r="D107" s="30" t="str">
        <f>[4]Cotação!C146</f>
        <v>KIT VENTO EXAUSTOR DE BANHEIRO 5MT 100MM, INCLUSO TUBO DE PASSAGEM - FORNECIMENTO E INSTALAÇÃO</v>
      </c>
      <c r="E107" s="29" t="s">
        <v>174</v>
      </c>
      <c r="F107" s="31">
        <v>1</v>
      </c>
      <c r="G107" s="19">
        <v>212.5</v>
      </c>
      <c r="H107" s="20">
        <v>0.26400000000000001</v>
      </c>
      <c r="I107" s="21">
        <f t="shared" si="24"/>
        <v>268.60000000000002</v>
      </c>
      <c r="J107" s="62">
        <f t="shared" si="25"/>
        <v>268.60000000000002</v>
      </c>
    </row>
    <row r="108" spans="1:11" x14ac:dyDescent="0.2">
      <c r="A108" s="16" t="s">
        <v>190</v>
      </c>
      <c r="B108" s="16" t="s">
        <v>22</v>
      </c>
      <c r="C108" s="29">
        <v>88496</v>
      </c>
      <c r="D108" s="30" t="s">
        <v>191</v>
      </c>
      <c r="E108" s="29" t="s">
        <v>24</v>
      </c>
      <c r="F108" s="31">
        <v>329.74</v>
      </c>
      <c r="G108" s="19">
        <v>31.976999999999997</v>
      </c>
      <c r="H108" s="20">
        <v>0.26400000000000001</v>
      </c>
      <c r="I108" s="21">
        <f t="shared" si="24"/>
        <v>40.42</v>
      </c>
      <c r="J108" s="62">
        <f t="shared" si="25"/>
        <v>13328.09</v>
      </c>
    </row>
    <row r="109" spans="1:11" x14ac:dyDescent="0.2">
      <c r="A109" s="16" t="s">
        <v>192</v>
      </c>
      <c r="B109" s="16" t="s">
        <v>22</v>
      </c>
      <c r="C109" s="29">
        <v>88488</v>
      </c>
      <c r="D109" s="30" t="s">
        <v>193</v>
      </c>
      <c r="E109" s="29" t="s">
        <v>24</v>
      </c>
      <c r="F109" s="31">
        <f>F108</f>
        <v>329.74</v>
      </c>
      <c r="G109" s="19">
        <v>13.888999999999999</v>
      </c>
      <c r="H109" s="20">
        <v>0.26400000000000001</v>
      </c>
      <c r="I109" s="21">
        <f t="shared" si="24"/>
        <v>17.559999999999999</v>
      </c>
      <c r="J109" s="62">
        <f t="shared" si="25"/>
        <v>5790.23</v>
      </c>
    </row>
    <row r="110" spans="1:11" x14ac:dyDescent="0.2">
      <c r="A110" s="25"/>
      <c r="B110" s="25"/>
      <c r="C110" s="25"/>
      <c r="D110" s="25" t="s">
        <v>108</v>
      </c>
      <c r="E110" s="25"/>
      <c r="F110" s="25"/>
      <c r="G110" s="25"/>
      <c r="H110" s="25"/>
      <c r="I110" s="25"/>
      <c r="J110" s="61">
        <f>SUM(J106:J109)</f>
        <v>28030.36</v>
      </c>
    </row>
    <row r="111" spans="1:11" s="24" customFormat="1" x14ac:dyDescent="0.2">
      <c r="A111" s="25" t="s">
        <v>194</v>
      </c>
      <c r="B111" s="25"/>
      <c r="C111" s="25"/>
      <c r="D111" s="26" t="s">
        <v>195</v>
      </c>
      <c r="E111" s="25"/>
      <c r="F111" s="27"/>
      <c r="G111" s="28"/>
      <c r="H111" s="25"/>
      <c r="I111" s="25"/>
      <c r="J111" s="61"/>
      <c r="K111" s="23"/>
    </row>
    <row r="112" spans="1:11" ht="38.25" x14ac:dyDescent="0.2">
      <c r="A112" s="16" t="s">
        <v>196</v>
      </c>
      <c r="B112" s="16" t="s">
        <v>91</v>
      </c>
      <c r="C112" s="16" t="str">
        <f>'[4]Composição (2)'!B45</f>
        <v>Q05</v>
      </c>
      <c r="D112" s="17" t="str">
        <f>'[4]Composição (2)'!D45</f>
        <v>JANELA DE ALUMÍNIO TIPO MAXIM-AR/BASCULANTE, CONFORME DETALHAMENTOS, COM VIDROS, BATENTE E FERRAGENS, COM PUXADOR DE CORRENTE, INCLUSIVE ALIZAR, ACABAMENTO E CONTRAMARCO, FIXAÇÃO COM PARAFUSO. FORNECIMENTO E INSTALAÇÃO. AF_11/2024</v>
      </c>
      <c r="E112" s="16" t="s">
        <v>24</v>
      </c>
      <c r="F112" s="18">
        <f>1.75+2.1+2.1+0.7</f>
        <v>6.65</v>
      </c>
      <c r="G112" s="19">
        <v>612.62900000000013</v>
      </c>
      <c r="H112" s="20">
        <v>0.26400000000000001</v>
      </c>
      <c r="I112" s="21">
        <f t="shared" ref="I112:I116" si="26">ROUND((G112*(1+H112)),2)</f>
        <v>774.36</v>
      </c>
      <c r="J112" s="62">
        <f t="shared" ref="J112:J116" si="27">ROUND((I112*F112),2)</f>
        <v>5149.49</v>
      </c>
    </row>
    <row r="113" spans="1:11" ht="38.25" x14ac:dyDescent="0.2">
      <c r="A113" s="16" t="s">
        <v>197</v>
      </c>
      <c r="B113" s="16" t="s">
        <v>91</v>
      </c>
      <c r="C113" s="16" t="str">
        <f>[4]Composição!B24</f>
        <v>Q03</v>
      </c>
      <c r="D113" s="17" t="str">
        <f>[4]Composição!D24</f>
        <v>JANELA DE ALUMÍNIO DE CORRER COM 2 FOLHAS PARA VIDROS, COM VIDROS, BATENTE, ACABAMENTO COM ACETATO OU BRILHANTE E FERRAGENS, COM VIDRO FIXO NA PARTE INFERIOR, INCLUSIVE ALIZAR E CONTRAMARCO, FIXAÇÃO COM PARAFUSO. FORNECIMENTO E INSTALAÇÃO. AF_11/2024</v>
      </c>
      <c r="E113" s="16" t="s">
        <v>24</v>
      </c>
      <c r="F113" s="18">
        <v>2</v>
      </c>
      <c r="G113" s="19">
        <v>343.536</v>
      </c>
      <c r="H113" s="20">
        <v>0.26400000000000001</v>
      </c>
      <c r="I113" s="21">
        <f t="shared" si="26"/>
        <v>434.23</v>
      </c>
      <c r="J113" s="62">
        <f t="shared" si="27"/>
        <v>868.46</v>
      </c>
    </row>
    <row r="114" spans="1:11" ht="25.5" x14ac:dyDescent="0.2">
      <c r="A114" s="16" t="s">
        <v>198</v>
      </c>
      <c r="B114" s="16" t="s">
        <v>91</v>
      </c>
      <c r="C114" s="16" t="str">
        <f>'[4]Composição (2)'!B31</f>
        <v>Q04</v>
      </c>
      <c r="D114" s="17" t="str">
        <f>'[4]Composição (2)'!D31</f>
        <v>JANELA-BAR EM MADEIRA FRISADA, COM ACABAMENTO MELAMÍNICO, COM 240X130CM, ESPESSURA DE 3,5CM, INCLUSO DOBRADIÇAS, FOLHA MÉDIA. FORNECIMENTO E INSTALAÇÃO</v>
      </c>
      <c r="E114" s="16" t="s">
        <v>62</v>
      </c>
      <c r="F114" s="18">
        <v>1</v>
      </c>
      <c r="G114" s="19">
        <v>702.90750000000003</v>
      </c>
      <c r="H114" s="20">
        <v>0.26400000000000001</v>
      </c>
      <c r="I114" s="21">
        <f t="shared" si="26"/>
        <v>888.48</v>
      </c>
      <c r="J114" s="62">
        <f t="shared" si="27"/>
        <v>888.48</v>
      </c>
    </row>
    <row r="115" spans="1:11" ht="25.5" x14ac:dyDescent="0.2">
      <c r="A115" s="16" t="s">
        <v>199</v>
      </c>
      <c r="B115" s="16" t="s">
        <v>91</v>
      </c>
      <c r="C115" s="16" t="str">
        <f>'[4]Composição (2)'!B38</f>
        <v>Q04.1</v>
      </c>
      <c r="D115" s="17" t="str">
        <f>'[4]Composição (2)'!D38</f>
        <v>JANELA-BAR EM MADEIRA FRISADA, COM ACABAMENTO MELAMÍNICO, COM 220X130CM, ESPESSURA DE 3,5CM, INCLUSO DOBRADIÇAS, FOLHA MÉDIA. FORNECIMENTO E INSTALAÇÃO</v>
      </c>
      <c r="E115" s="16" t="s">
        <v>174</v>
      </c>
      <c r="F115" s="18">
        <v>1</v>
      </c>
      <c r="G115" s="19">
        <v>685.13400000000001</v>
      </c>
      <c r="H115" s="20">
        <v>0.26400000000000001</v>
      </c>
      <c r="I115" s="21">
        <f t="shared" si="26"/>
        <v>866.01</v>
      </c>
      <c r="J115" s="62">
        <f t="shared" si="27"/>
        <v>866.01</v>
      </c>
    </row>
    <row r="116" spans="1:11" ht="25.5" x14ac:dyDescent="0.2">
      <c r="A116" s="16" t="s">
        <v>200</v>
      </c>
      <c r="B116" s="16" t="s">
        <v>91</v>
      </c>
      <c r="C116" s="16" t="str">
        <f>[4]Composição!B57</f>
        <v>Q08</v>
      </c>
      <c r="D116" s="17" t="str">
        <f>[4]Composição!D57</f>
        <v>PEITORIL LINEAR EM GRANITO OU MÁRMORE, L = 30CM, COMPRIMENTO DE ATÉ 2M, ASSENTADO COM ARGAMASSA 1:6 COM ADITIVO. AF_11/2020 (BALCÃO DE ATENDIMENTO)</v>
      </c>
      <c r="E116" s="16" t="s">
        <v>38</v>
      </c>
      <c r="F116" s="18">
        <f>2.2+2.4</f>
        <v>4.5999999999999996</v>
      </c>
      <c r="G116" s="19">
        <v>193.20500000000001</v>
      </c>
      <c r="H116" s="20">
        <v>0.26400000000000001</v>
      </c>
      <c r="I116" s="21">
        <f t="shared" si="26"/>
        <v>244.21</v>
      </c>
      <c r="J116" s="62">
        <f t="shared" si="27"/>
        <v>1123.3699999999999</v>
      </c>
    </row>
    <row r="117" spans="1:11" ht="38.25" x14ac:dyDescent="0.2">
      <c r="A117" s="16" t="s">
        <v>201</v>
      </c>
      <c r="B117" s="16" t="s">
        <v>91</v>
      </c>
      <c r="C117" s="16" t="str">
        <f>'[4]Composição (2)'!B72</f>
        <v>Q09</v>
      </c>
      <c r="D117" s="17" t="str">
        <f>'[4]Composição (2)'!D72</f>
        <v>KIT DE PORTA-PRONTA DE MADEIRA EM ACABAMENTO LAQUEADO FOSCO BRANCO, FOLHA LEVE OU MÉDIA, 90X210, INCLUSIVE MARCO, ALIZAR, DOBRADIÇA, FECHADURA COM EXECUÇÃO DO FURO, FIXAÇÃO COM PREENCHIMENTO TOTAL DE ESPUMA EXPANSIVA - FORNECIMENTO E INSTALAÇÃO. AF_12/2019</v>
      </c>
      <c r="E117" s="16" t="s">
        <v>174</v>
      </c>
      <c r="F117" s="18">
        <v>7</v>
      </c>
      <c r="G117" s="19">
        <v>916.80149999999992</v>
      </c>
      <c r="H117" s="20">
        <v>0.26400000000000001</v>
      </c>
      <c r="I117" s="21">
        <f>ROUND((G117*(1+H117)),2)</f>
        <v>1158.8399999999999</v>
      </c>
      <c r="J117" s="62">
        <f>ROUND((I117*F117),2)</f>
        <v>8111.88</v>
      </c>
    </row>
    <row r="118" spans="1:11" ht="38.25" customHeight="1" x14ac:dyDescent="0.2">
      <c r="A118" s="16" t="s">
        <v>202</v>
      </c>
      <c r="B118" s="16" t="s">
        <v>91</v>
      </c>
      <c r="C118" s="16" t="str">
        <f>'[4]Composição (2)'!B86</f>
        <v>Q12</v>
      </c>
      <c r="D118" s="17" t="str">
        <f>'[4]Composição (2)'!D86</f>
        <v>PORTA DE CORRER, EM MADEIRA EM ACABAMENTO LAQUEADO FOSCO BRANCO, FOLHA LEVE OU MÉDIA, 90X210, INCLUSIVE MARCO, ALIZAR, DOBRADIÇA, FECHADURA COM EXECUÇÃO DO FURO, FIXAÇÃO PELA FACE EXTERNA, SEM GUIA DE CHÃO - FORNECIMENTO E INSTALAÇÃO.</v>
      </c>
      <c r="E118" s="16" t="s">
        <v>174</v>
      </c>
      <c r="F118" s="18">
        <v>3</v>
      </c>
      <c r="G118" s="19">
        <v>1005.5075000000003</v>
      </c>
      <c r="H118" s="20">
        <v>0.26400000000000001</v>
      </c>
      <c r="I118" s="21">
        <f>ROUND((G118*(1+H118)),2)</f>
        <v>1270.96</v>
      </c>
      <c r="J118" s="62">
        <f>ROUND((I118*F118),2)</f>
        <v>3812.88</v>
      </c>
    </row>
    <row r="119" spans="1:11" x14ac:dyDescent="0.2">
      <c r="A119" s="16" t="s">
        <v>203</v>
      </c>
      <c r="B119" s="16" t="s">
        <v>22</v>
      </c>
      <c r="C119" s="29">
        <v>101965</v>
      </c>
      <c r="D119" s="30" t="s">
        <v>204</v>
      </c>
      <c r="E119" s="29" t="s">
        <v>38</v>
      </c>
      <c r="F119" s="31">
        <v>16.100000000000001</v>
      </c>
      <c r="G119" s="19">
        <v>155.6095</v>
      </c>
      <c r="H119" s="20">
        <v>0.26400000000000001</v>
      </c>
      <c r="I119" s="21">
        <f t="shared" ref="I119" si="28">ROUND((G119*(1+H119)),2)</f>
        <v>196.69</v>
      </c>
      <c r="J119" s="62">
        <f t="shared" ref="J119" si="29">ROUND((I119*F119),2)</f>
        <v>3166.71</v>
      </c>
    </row>
    <row r="120" spans="1:11" x14ac:dyDescent="0.2">
      <c r="A120" s="25"/>
      <c r="B120" s="25"/>
      <c r="C120" s="25"/>
      <c r="D120" s="25" t="s">
        <v>108</v>
      </c>
      <c r="E120" s="25"/>
      <c r="F120" s="25"/>
      <c r="G120" s="25"/>
      <c r="H120" s="25"/>
      <c r="I120" s="25"/>
      <c r="J120" s="61">
        <f>SUM(J112:J119)</f>
        <v>23987.280000000002</v>
      </c>
    </row>
    <row r="121" spans="1:11" s="24" customFormat="1" x14ac:dyDescent="0.2">
      <c r="A121" s="25" t="s">
        <v>205</v>
      </c>
      <c r="B121" s="25"/>
      <c r="C121" s="25"/>
      <c r="D121" s="26" t="s">
        <v>206</v>
      </c>
      <c r="E121" s="25"/>
      <c r="F121" s="27"/>
      <c r="G121" s="28"/>
      <c r="H121" s="25"/>
      <c r="I121" s="25"/>
      <c r="J121" s="61"/>
      <c r="K121" s="23"/>
    </row>
    <row r="122" spans="1:11" ht="25.5" x14ac:dyDescent="0.2">
      <c r="A122" s="16" t="s">
        <v>207</v>
      </c>
      <c r="B122" s="16" t="s">
        <v>22</v>
      </c>
      <c r="C122" s="29">
        <v>87373</v>
      </c>
      <c r="D122" s="30" t="s">
        <v>208</v>
      </c>
      <c r="E122" s="29" t="s">
        <v>51</v>
      </c>
      <c r="F122" s="31">
        <f>(8.94+3.14+3.14)*0.04</f>
        <v>0.60880000000000001</v>
      </c>
      <c r="G122" s="19">
        <v>743.18050000000005</v>
      </c>
      <c r="H122" s="20">
        <v>0.26400000000000001</v>
      </c>
      <c r="I122" s="21">
        <f t="shared" ref="I122:I130" si="30">ROUND((G122*(1+H122)),2)</f>
        <v>939.38</v>
      </c>
      <c r="J122" s="62">
        <f t="shared" ref="J122:J130" si="31">ROUND((I122*F122),2)</f>
        <v>571.89</v>
      </c>
    </row>
    <row r="123" spans="1:11" ht="25.5" x14ac:dyDescent="0.2">
      <c r="A123" s="16" t="s">
        <v>209</v>
      </c>
      <c r="B123" s="16" t="s">
        <v>22</v>
      </c>
      <c r="C123" s="29">
        <v>97084</v>
      </c>
      <c r="D123" s="30" t="s">
        <v>210</v>
      </c>
      <c r="E123" s="29" t="s">
        <v>24</v>
      </c>
      <c r="F123" s="31">
        <f>F124</f>
        <v>310.8152</v>
      </c>
      <c r="G123" s="19">
        <v>0.69699999999999995</v>
      </c>
      <c r="H123" s="20">
        <v>0.26400000000000001</v>
      </c>
      <c r="I123" s="21">
        <f t="shared" si="30"/>
        <v>0.88</v>
      </c>
      <c r="J123" s="62">
        <f t="shared" si="31"/>
        <v>273.52</v>
      </c>
    </row>
    <row r="124" spans="1:11" ht="25.5" x14ac:dyDescent="0.2">
      <c r="A124" s="16" t="s">
        <v>211</v>
      </c>
      <c r="B124" s="16" t="s">
        <v>22</v>
      </c>
      <c r="C124" s="29">
        <v>94995</v>
      </c>
      <c r="D124" s="30" t="s">
        <v>212</v>
      </c>
      <c r="E124" s="29" t="s">
        <v>24</v>
      </c>
      <c r="F124" s="18">
        <f>198.2752+16.15+12.19+17.02+21.72+3.79+15.48+3.84+17.07+5.28</f>
        <v>310.8152</v>
      </c>
      <c r="G124" s="19">
        <v>83.869500000000002</v>
      </c>
      <c r="H124" s="20">
        <v>0.26400000000000001</v>
      </c>
      <c r="I124" s="21">
        <f t="shared" si="30"/>
        <v>106.01</v>
      </c>
      <c r="J124" s="62">
        <f t="shared" si="31"/>
        <v>32949.519999999997</v>
      </c>
    </row>
    <row r="125" spans="1:11" ht="39.75" customHeight="1" x14ac:dyDescent="0.2">
      <c r="A125" s="16" t="s">
        <v>213</v>
      </c>
      <c r="B125" s="16" t="s">
        <v>22</v>
      </c>
      <c r="C125" s="29">
        <v>87630</v>
      </c>
      <c r="D125" s="30" t="s">
        <v>214</v>
      </c>
      <c r="E125" s="29" t="s">
        <v>24</v>
      </c>
      <c r="F125" s="31">
        <f>F124+29.677</f>
        <v>340.49220000000003</v>
      </c>
      <c r="G125" s="19">
        <v>41.9985</v>
      </c>
      <c r="H125" s="20">
        <v>0.26400000000000001</v>
      </c>
      <c r="I125" s="21">
        <f t="shared" si="30"/>
        <v>53.09</v>
      </c>
      <c r="J125" s="62">
        <f t="shared" si="31"/>
        <v>18076.73</v>
      </c>
    </row>
    <row r="126" spans="1:11" ht="38.25" x14ac:dyDescent="0.2">
      <c r="A126" s="16" t="s">
        <v>215</v>
      </c>
      <c r="B126" s="16" t="s">
        <v>22</v>
      </c>
      <c r="C126" s="29">
        <v>104598</v>
      </c>
      <c r="D126" s="30" t="s">
        <v>216</v>
      </c>
      <c r="E126" s="29" t="s">
        <v>24</v>
      </c>
      <c r="F126" s="31">
        <f>F125</f>
        <v>340.49220000000003</v>
      </c>
      <c r="G126" s="19">
        <v>89.878999999999991</v>
      </c>
      <c r="H126" s="20">
        <v>0.26400000000000001</v>
      </c>
      <c r="I126" s="21">
        <f t="shared" si="30"/>
        <v>113.61</v>
      </c>
      <c r="J126" s="62">
        <f t="shared" si="31"/>
        <v>38683.32</v>
      </c>
    </row>
    <row r="127" spans="1:11" ht="25.5" x14ac:dyDescent="0.2">
      <c r="A127" s="16" t="s">
        <v>217</v>
      </c>
      <c r="B127" s="16" t="s">
        <v>22</v>
      </c>
      <c r="C127" s="29">
        <v>104619</v>
      </c>
      <c r="D127" s="30" t="s">
        <v>218</v>
      </c>
      <c r="E127" s="29" t="s">
        <v>38</v>
      </c>
      <c r="F127" s="31">
        <f>(25.84+12.62+4.45+25.24+45.68+22.48+8.06+15.92+8.06)-((0.9*14)+(1.35)+(0.3*3))</f>
        <v>153.5</v>
      </c>
      <c r="G127" s="19">
        <v>11.271000000000001</v>
      </c>
      <c r="H127" s="20">
        <v>0.26400000000000001</v>
      </c>
      <c r="I127" s="21">
        <f t="shared" si="30"/>
        <v>14.25</v>
      </c>
      <c r="J127" s="62">
        <f t="shared" si="31"/>
        <v>2187.38</v>
      </c>
    </row>
    <row r="128" spans="1:11" ht="25.5" x14ac:dyDescent="0.2">
      <c r="A128" s="16" t="s">
        <v>219</v>
      </c>
      <c r="B128" s="16" t="s">
        <v>22</v>
      </c>
      <c r="C128" s="29">
        <v>102513</v>
      </c>
      <c r="D128" s="30" t="s">
        <v>220</v>
      </c>
      <c r="E128" s="29" t="s">
        <v>24</v>
      </c>
      <c r="F128" s="31">
        <f>0.96*5</f>
        <v>4.8</v>
      </c>
      <c r="G128" s="19">
        <v>46.732999999999997</v>
      </c>
      <c r="H128" s="20">
        <v>0.26400000000000001</v>
      </c>
      <c r="I128" s="21">
        <f t="shared" si="30"/>
        <v>59.07</v>
      </c>
      <c r="J128" s="62">
        <f t="shared" si="31"/>
        <v>283.54000000000002</v>
      </c>
    </row>
    <row r="129" spans="1:11" x14ac:dyDescent="0.2">
      <c r="A129" s="16" t="s">
        <v>221</v>
      </c>
      <c r="B129" s="16" t="s">
        <v>22</v>
      </c>
      <c r="C129" s="29">
        <v>98505</v>
      </c>
      <c r="D129" s="30" t="s">
        <v>222</v>
      </c>
      <c r="E129" s="29" t="s">
        <v>24</v>
      </c>
      <c r="F129" s="31">
        <f>16.599+6.792</f>
        <v>23.390999999999998</v>
      </c>
      <c r="G129" s="19">
        <v>60.290500000000009</v>
      </c>
      <c r="H129" s="20">
        <v>0.26400000000000001</v>
      </c>
      <c r="I129" s="21">
        <f t="shared" si="30"/>
        <v>76.209999999999994</v>
      </c>
      <c r="J129" s="62">
        <f t="shared" si="31"/>
        <v>1782.63</v>
      </c>
    </row>
    <row r="130" spans="1:11" ht="25.5" x14ac:dyDescent="0.2">
      <c r="A130" s="16" t="s">
        <v>223</v>
      </c>
      <c r="B130" s="16" t="s">
        <v>22</v>
      </c>
      <c r="C130" s="29">
        <v>102669</v>
      </c>
      <c r="D130" s="30" t="s">
        <v>224</v>
      </c>
      <c r="E130" s="29" t="s">
        <v>38</v>
      </c>
      <c r="F130" s="31">
        <f>11.97+23.26</f>
        <v>35.230000000000004</v>
      </c>
      <c r="G130" s="19">
        <v>69.835999999999999</v>
      </c>
      <c r="H130" s="20">
        <v>0.26400000000000001</v>
      </c>
      <c r="I130" s="21">
        <f t="shared" si="30"/>
        <v>88.27</v>
      </c>
      <c r="J130" s="62">
        <f t="shared" si="31"/>
        <v>3109.75</v>
      </c>
    </row>
    <row r="131" spans="1:11" x14ac:dyDescent="0.2">
      <c r="A131" s="25"/>
      <c r="B131" s="25"/>
      <c r="C131" s="25"/>
      <c r="D131" s="25" t="s">
        <v>108</v>
      </c>
      <c r="E131" s="25"/>
      <c r="F131" s="25"/>
      <c r="G131" s="25"/>
      <c r="H131" s="25"/>
      <c r="I131" s="25"/>
      <c r="J131" s="61">
        <f>SUM(J122:J130)</f>
        <v>97918.280000000013</v>
      </c>
    </row>
    <row r="132" spans="1:11" s="24" customFormat="1" x14ac:dyDescent="0.2">
      <c r="A132" s="25" t="s">
        <v>225</v>
      </c>
      <c r="B132" s="25"/>
      <c r="C132" s="25"/>
      <c r="D132" s="26" t="s">
        <v>226</v>
      </c>
      <c r="E132" s="25"/>
      <c r="F132" s="27"/>
      <c r="G132" s="28"/>
      <c r="H132" s="25"/>
      <c r="I132" s="25"/>
      <c r="J132" s="61"/>
      <c r="K132" s="23"/>
    </row>
    <row r="133" spans="1:11" ht="25.5" x14ac:dyDescent="0.2">
      <c r="A133" s="16" t="s">
        <v>227</v>
      </c>
      <c r="B133" s="16" t="s">
        <v>22</v>
      </c>
      <c r="C133" s="29">
        <v>86932</v>
      </c>
      <c r="D133" s="30" t="s">
        <v>228</v>
      </c>
      <c r="E133" s="29" t="s">
        <v>62</v>
      </c>
      <c r="F133" s="31">
        <v>10</v>
      </c>
      <c r="G133" s="19">
        <v>471.94550000000004</v>
      </c>
      <c r="H133" s="20">
        <v>0.26400000000000001</v>
      </c>
      <c r="I133" s="21">
        <f t="shared" ref="I133:I145" si="32">ROUND((G133*(1+H133)),2)</f>
        <v>596.54</v>
      </c>
      <c r="J133" s="62">
        <f t="shared" ref="J133:J145" si="33">ROUND((I133*F133),2)</f>
        <v>5965.4</v>
      </c>
    </row>
    <row r="134" spans="1:11" ht="25.5" x14ac:dyDescent="0.2">
      <c r="A134" s="16" t="s">
        <v>229</v>
      </c>
      <c r="B134" s="16" t="s">
        <v>22</v>
      </c>
      <c r="C134" s="29">
        <v>95471</v>
      </c>
      <c r="D134" s="30" t="s">
        <v>230</v>
      </c>
      <c r="E134" s="29" t="s">
        <v>62</v>
      </c>
      <c r="F134" s="31">
        <v>2</v>
      </c>
      <c r="G134" s="19">
        <v>683.77400000000011</v>
      </c>
      <c r="H134" s="20">
        <v>0.26400000000000001</v>
      </c>
      <c r="I134" s="21">
        <f t="shared" si="32"/>
        <v>864.29</v>
      </c>
      <c r="J134" s="62">
        <f t="shared" si="33"/>
        <v>1728.58</v>
      </c>
    </row>
    <row r="135" spans="1:11" ht="27" customHeight="1" x14ac:dyDescent="0.2">
      <c r="A135" s="16" t="s">
        <v>231</v>
      </c>
      <c r="B135" s="16" t="s">
        <v>22</v>
      </c>
      <c r="C135" s="29">
        <v>100858</v>
      </c>
      <c r="D135" s="30" t="s">
        <v>232</v>
      </c>
      <c r="E135" s="29" t="s">
        <v>62</v>
      </c>
      <c r="F135" s="31">
        <v>3</v>
      </c>
      <c r="G135" s="19">
        <v>573.75850000000003</v>
      </c>
      <c r="H135" s="20">
        <v>0.26400000000000001</v>
      </c>
      <c r="I135" s="21">
        <f t="shared" si="32"/>
        <v>725.23</v>
      </c>
      <c r="J135" s="62">
        <f t="shared" si="33"/>
        <v>2175.69</v>
      </c>
    </row>
    <row r="136" spans="1:11" ht="25.5" x14ac:dyDescent="0.2">
      <c r="A136" s="16" t="s">
        <v>233</v>
      </c>
      <c r="B136" s="16" t="s">
        <v>22</v>
      </c>
      <c r="C136" s="29">
        <v>86939</v>
      </c>
      <c r="D136" s="30" t="s">
        <v>234</v>
      </c>
      <c r="E136" s="29" t="s">
        <v>62</v>
      </c>
      <c r="F136" s="31">
        <v>2</v>
      </c>
      <c r="G136" s="19">
        <v>395.233</v>
      </c>
      <c r="H136" s="20">
        <v>0.26400000000000001</v>
      </c>
      <c r="I136" s="21">
        <f t="shared" si="32"/>
        <v>499.57</v>
      </c>
      <c r="J136" s="62">
        <f t="shared" si="33"/>
        <v>999.14</v>
      </c>
    </row>
    <row r="137" spans="1:11" ht="25.5" x14ac:dyDescent="0.2">
      <c r="A137" s="16" t="s">
        <v>235</v>
      </c>
      <c r="B137" s="16" t="s">
        <v>91</v>
      </c>
      <c r="C137" s="29" t="str">
        <f>'[4]Composição (2)'!B159</f>
        <v>Q22</v>
      </c>
      <c r="D137" s="30" t="str">
        <f>'[4]Composição (2)'!D159</f>
        <v>BANCADA GRANITO CINZA 350 X 50 CM, COM CUBAS DE EMBUTIR EM LOUÇA BRANCA, VÁLVULA E SIFÃO TIPO GARRAFA EM METAL CROMADO, ENGATE FLEXÍVEL 30 CM, TORNEIRA CROMADA DE MESA - FORNEC. E INSTALAÇÃO. AF_02/2026</v>
      </c>
      <c r="E137" s="29" t="s">
        <v>174</v>
      </c>
      <c r="F137" s="31">
        <v>1</v>
      </c>
      <c r="G137" s="19">
        <v>4329.503999999999</v>
      </c>
      <c r="H137" s="20">
        <v>0.26400000000000001</v>
      </c>
      <c r="I137" s="21">
        <f t="shared" si="32"/>
        <v>5472.49</v>
      </c>
      <c r="J137" s="62">
        <f t="shared" si="33"/>
        <v>5472.49</v>
      </c>
    </row>
    <row r="138" spans="1:11" ht="25.5" x14ac:dyDescent="0.2">
      <c r="A138" s="16" t="s">
        <v>236</v>
      </c>
      <c r="B138" s="16" t="s">
        <v>91</v>
      </c>
      <c r="C138" s="29" t="str">
        <f>'[4]Composição (2)'!B164</f>
        <v>Q23</v>
      </c>
      <c r="D138" s="30" t="str">
        <f>'[4]Composição (2)'!D164</f>
        <v>BANCADA GRANITO CINZA 460 X 50 CM, COM CUBAS DE EMBUTIR EM LOUÇA BRANCA, VÁLVULA E SIFÃO TIPO GARRAFA EM METAL CROMADO, ENGATE FLEXÍVEL 30 CM, TORNEIRA CROMADA DE MESA - FORNEC. E INSTALAÇÃO. AF_02/2026</v>
      </c>
      <c r="E138" s="29" t="s">
        <v>174</v>
      </c>
      <c r="F138" s="31">
        <v>1</v>
      </c>
      <c r="G138" s="19">
        <v>5352.6639999999998</v>
      </c>
      <c r="H138" s="20">
        <v>0.26400000000000001</v>
      </c>
      <c r="I138" s="21">
        <f t="shared" si="32"/>
        <v>6765.77</v>
      </c>
      <c r="J138" s="62">
        <f t="shared" si="33"/>
        <v>6765.77</v>
      </c>
    </row>
    <row r="139" spans="1:11" x14ac:dyDescent="0.2">
      <c r="A139" s="16" t="s">
        <v>237</v>
      </c>
      <c r="B139" s="16" t="s">
        <v>91</v>
      </c>
      <c r="C139" s="29" t="str">
        <f>'[4]Composição (2)'!B169</f>
        <v>Q24</v>
      </c>
      <c r="D139" s="30" t="str">
        <f>'[4]Composição (2)'!D169</f>
        <v>BARRA DE APOIO RETA, EM AÇO INOX POLIDO, COMPRIMENTO 40 CM, FIXADA NA PAREDE - FORNECIMENTO E INSTALAÇÃO. AF_02/2026</v>
      </c>
      <c r="E139" s="29" t="s">
        <v>174</v>
      </c>
      <c r="F139" s="31">
        <v>4</v>
      </c>
      <c r="G139" s="19">
        <v>241.71450000000002</v>
      </c>
      <c r="H139" s="20">
        <v>0.26400000000000001</v>
      </c>
      <c r="I139" s="21">
        <f t="shared" si="32"/>
        <v>305.52999999999997</v>
      </c>
      <c r="J139" s="62">
        <f t="shared" si="33"/>
        <v>1222.1199999999999</v>
      </c>
    </row>
    <row r="140" spans="1:11" x14ac:dyDescent="0.2">
      <c r="A140" s="16" t="s">
        <v>238</v>
      </c>
      <c r="B140" s="16" t="s">
        <v>91</v>
      </c>
      <c r="C140" s="29" t="str">
        <f>'[4]Composição (2)'!B324</f>
        <v>Q43</v>
      </c>
      <c r="D140" s="30" t="str">
        <f>'[4]Composição (2)'!D324</f>
        <v>PUXADOR PARA PCD (BARRA 40CM), FIXADO NA PORTA - FORNECIMENTO E INSTALAÇÃO. AF_02/2026</v>
      </c>
      <c r="E140" s="29" t="s">
        <v>62</v>
      </c>
      <c r="F140" s="31">
        <v>2</v>
      </c>
      <c r="G140" s="19">
        <v>246.56800000000004</v>
      </c>
      <c r="H140" s="20">
        <v>0.26400000000000001</v>
      </c>
      <c r="I140" s="21">
        <f t="shared" si="32"/>
        <v>311.66000000000003</v>
      </c>
      <c r="J140" s="62">
        <f t="shared" si="33"/>
        <v>623.32000000000005</v>
      </c>
    </row>
    <row r="141" spans="1:11" x14ac:dyDescent="0.2">
      <c r="A141" s="16" t="s">
        <v>239</v>
      </c>
      <c r="B141" s="16" t="s">
        <v>22</v>
      </c>
      <c r="C141" s="29">
        <v>100867</v>
      </c>
      <c r="D141" s="30" t="s">
        <v>240</v>
      </c>
      <c r="E141" s="29" t="s">
        <v>62</v>
      </c>
      <c r="F141" s="31">
        <v>2</v>
      </c>
      <c r="G141" s="19">
        <v>315.20549999999997</v>
      </c>
      <c r="H141" s="20">
        <v>0.26400000000000001</v>
      </c>
      <c r="I141" s="21">
        <f t="shared" si="32"/>
        <v>398.42</v>
      </c>
      <c r="J141" s="62">
        <f t="shared" si="33"/>
        <v>796.84</v>
      </c>
    </row>
    <row r="142" spans="1:11" x14ac:dyDescent="0.2">
      <c r="A142" s="16" t="s">
        <v>241</v>
      </c>
      <c r="B142" s="16" t="s">
        <v>22</v>
      </c>
      <c r="C142" s="29">
        <v>100868</v>
      </c>
      <c r="D142" s="30" t="s">
        <v>242</v>
      </c>
      <c r="E142" s="29" t="s">
        <v>62</v>
      </c>
      <c r="F142" s="31">
        <v>4</v>
      </c>
      <c r="G142" s="19">
        <v>326.57</v>
      </c>
      <c r="H142" s="20">
        <v>0.26400000000000001</v>
      </c>
      <c r="I142" s="21">
        <f t="shared" si="32"/>
        <v>412.78</v>
      </c>
      <c r="J142" s="62">
        <f t="shared" si="33"/>
        <v>1651.12</v>
      </c>
    </row>
    <row r="143" spans="1:11" x14ac:dyDescent="0.2">
      <c r="A143" s="16" t="s">
        <v>243</v>
      </c>
      <c r="B143" s="16" t="s">
        <v>22</v>
      </c>
      <c r="C143" s="29">
        <v>106766</v>
      </c>
      <c r="D143" s="30" t="s">
        <v>244</v>
      </c>
      <c r="E143" s="29" t="s">
        <v>62</v>
      </c>
      <c r="F143" s="31">
        <v>12</v>
      </c>
      <c r="G143" s="19">
        <v>72.980999999999995</v>
      </c>
      <c r="H143" s="20">
        <v>0.26400000000000001</v>
      </c>
      <c r="I143" s="21">
        <f t="shared" si="32"/>
        <v>92.25</v>
      </c>
      <c r="J143" s="62">
        <f t="shared" si="33"/>
        <v>1107</v>
      </c>
    </row>
    <row r="144" spans="1:11" x14ac:dyDescent="0.2">
      <c r="A144" s="16" t="s">
        <v>245</v>
      </c>
      <c r="B144" s="16" t="s">
        <v>22</v>
      </c>
      <c r="C144" s="29">
        <v>95547</v>
      </c>
      <c r="D144" s="30" t="s">
        <v>246</v>
      </c>
      <c r="E144" s="29" t="s">
        <v>62</v>
      </c>
      <c r="F144" s="31">
        <v>8</v>
      </c>
      <c r="G144" s="19">
        <v>63.996500000000005</v>
      </c>
      <c r="H144" s="20">
        <v>0.26400000000000001</v>
      </c>
      <c r="I144" s="21">
        <f t="shared" si="32"/>
        <v>80.89</v>
      </c>
      <c r="J144" s="62">
        <f t="shared" si="33"/>
        <v>647.12</v>
      </c>
    </row>
    <row r="145" spans="1:11" x14ac:dyDescent="0.2">
      <c r="A145" s="16" t="s">
        <v>247</v>
      </c>
      <c r="B145" s="16" t="s">
        <v>22</v>
      </c>
      <c r="C145" s="29">
        <v>106765</v>
      </c>
      <c r="D145" s="30" t="s">
        <v>248</v>
      </c>
      <c r="E145" s="29" t="s">
        <v>62</v>
      </c>
      <c r="F145" s="31">
        <v>8</v>
      </c>
      <c r="G145" s="19">
        <v>72.980999999999995</v>
      </c>
      <c r="H145" s="20">
        <v>0.26400000000000001</v>
      </c>
      <c r="I145" s="21">
        <f t="shared" si="32"/>
        <v>92.25</v>
      </c>
      <c r="J145" s="62">
        <f t="shared" si="33"/>
        <v>738</v>
      </c>
    </row>
    <row r="146" spans="1:11" x14ac:dyDescent="0.2">
      <c r="A146" s="16" t="s">
        <v>249</v>
      </c>
      <c r="B146" s="16" t="s">
        <v>173</v>
      </c>
      <c r="C146" s="29">
        <v>2</v>
      </c>
      <c r="D146" s="30" t="str">
        <f>[4]Cotação!C18</f>
        <v>LIXEIRA DE AÇO INOX 5 LITROS COM PEDAL</v>
      </c>
      <c r="E146" s="29" t="s">
        <v>62</v>
      </c>
      <c r="F146" s="31">
        <v>10</v>
      </c>
      <c r="G146" s="19">
        <v>46.75</v>
      </c>
      <c r="H146" s="20">
        <v>0.26400000000000001</v>
      </c>
      <c r="I146" s="21">
        <f>ROUND((G146*(1+H146)),2)</f>
        <v>59.09</v>
      </c>
      <c r="J146" s="62">
        <f>ROUND((I146*F146),2)</f>
        <v>590.9</v>
      </c>
    </row>
    <row r="147" spans="1:11" x14ac:dyDescent="0.2">
      <c r="A147" s="16" t="s">
        <v>250</v>
      </c>
      <c r="B147" s="16" t="s">
        <v>173</v>
      </c>
      <c r="C147" s="29">
        <v>3</v>
      </c>
      <c r="D147" s="30" t="str">
        <f>[4]Cotação!C27</f>
        <v>LIXEIRA DE AÇO INOX 3 LITROS COM TAMPA VAI E VEM (PCD)</v>
      </c>
      <c r="E147" s="29" t="s">
        <v>62</v>
      </c>
      <c r="F147" s="31">
        <v>2</v>
      </c>
      <c r="G147" s="19">
        <v>72.25</v>
      </c>
      <c r="H147" s="20">
        <v>0.26400000000000001</v>
      </c>
      <c r="I147" s="21">
        <f>ROUND((G147*(1+H147)),2)</f>
        <v>91.32</v>
      </c>
      <c r="J147" s="62">
        <f>ROUND((I147*F147),2)</f>
        <v>182.64</v>
      </c>
    </row>
    <row r="148" spans="1:11" x14ac:dyDescent="0.2">
      <c r="A148" s="25"/>
      <c r="B148" s="25"/>
      <c r="C148" s="25"/>
      <c r="D148" s="25" t="s">
        <v>108</v>
      </c>
      <c r="E148" s="25"/>
      <c r="F148" s="25"/>
      <c r="G148" s="25"/>
      <c r="H148" s="25"/>
      <c r="I148" s="25"/>
      <c r="J148" s="61">
        <f>SUM(J133:J147)</f>
        <v>30666.129999999997</v>
      </c>
    </row>
    <row r="149" spans="1:11" x14ac:dyDescent="0.2">
      <c r="A149" s="144" t="s">
        <v>43</v>
      </c>
      <c r="B149" s="145"/>
      <c r="C149" s="145"/>
      <c r="D149" s="145"/>
      <c r="E149" s="145"/>
      <c r="F149" s="145"/>
      <c r="G149" s="145"/>
      <c r="H149" s="145"/>
      <c r="I149" s="146"/>
      <c r="J149" s="60">
        <f>SUM(J97,J104,J110,J120,J131,J148)</f>
        <v>522004.93</v>
      </c>
    </row>
    <row r="150" spans="1:11" s="24" customFormat="1" x14ac:dyDescent="0.2">
      <c r="A150" s="12">
        <v>4</v>
      </c>
      <c r="B150" s="12"/>
      <c r="C150" s="12"/>
      <c r="D150" s="13" t="s">
        <v>251</v>
      </c>
      <c r="E150" s="12"/>
      <c r="F150" s="14"/>
      <c r="G150" s="15"/>
      <c r="H150" s="12"/>
      <c r="I150" s="12"/>
      <c r="J150" s="60"/>
      <c r="K150" s="23"/>
    </row>
    <row r="151" spans="1:11" s="24" customFormat="1" x14ac:dyDescent="0.2">
      <c r="A151" s="25" t="s">
        <v>252</v>
      </c>
      <c r="B151" s="25"/>
      <c r="C151" s="25"/>
      <c r="D151" s="26" t="s">
        <v>144</v>
      </c>
      <c r="E151" s="25"/>
      <c r="F151" s="27"/>
      <c r="G151" s="28"/>
      <c r="H151" s="25"/>
      <c r="I151" s="25"/>
      <c r="J151" s="61"/>
      <c r="K151" s="23"/>
    </row>
    <row r="152" spans="1:11" ht="25.5" x14ac:dyDescent="0.2">
      <c r="A152" s="16" t="s">
        <v>253</v>
      </c>
      <c r="B152" s="16" t="s">
        <v>91</v>
      </c>
      <c r="C152" s="16" t="str">
        <f>'[4]Composição (2)'!B144</f>
        <v>Q18</v>
      </c>
      <c r="D152" s="17" t="str">
        <f>'[4]Composição (2)'!D144</f>
        <v>ALVENARIA DE VEDAÇÃO COM ELEMENTO VAZADO EM LOUÇA (COBOGÓ) DE 7X20X20CM E ARGAMASSA DE ASSENTAMENTO COM PREPARO EM BETONEIRA. AF_05/2020</v>
      </c>
      <c r="E152" s="16" t="s">
        <v>24</v>
      </c>
      <c r="F152" s="18">
        <f>(5.62*2.8)+(11.32*2.8)</f>
        <v>47.431999999999995</v>
      </c>
      <c r="G152" s="19">
        <v>226.7715</v>
      </c>
      <c r="H152" s="20">
        <v>0.26400000000000001</v>
      </c>
      <c r="I152" s="21">
        <f t="shared" ref="I152" si="34">ROUND((G152*(1+H152)),2)</f>
        <v>286.64</v>
      </c>
      <c r="J152" s="62">
        <f t="shared" ref="J152" si="35">ROUND((I152*F152),2)</f>
        <v>13595.91</v>
      </c>
    </row>
    <row r="153" spans="1:11" ht="38.25" x14ac:dyDescent="0.2">
      <c r="A153" s="16" t="s">
        <v>254</v>
      </c>
      <c r="B153" s="16" t="s">
        <v>22</v>
      </c>
      <c r="C153" s="16">
        <v>103360</v>
      </c>
      <c r="D153" s="17" t="s">
        <v>147</v>
      </c>
      <c r="E153" s="16" t="s">
        <v>24</v>
      </c>
      <c r="F153" s="18">
        <f>(((6.48+28.35+12.4+22.73+6.07+2.03+2.09+3.98)*2.2)+(5.47*2.5))-((1.8*9)+(0.7*2)+(3.24+2.52+8.75)+(1.8*10))</f>
        <v>148.65100000000007</v>
      </c>
      <c r="G153" s="19">
        <v>83.350999999999999</v>
      </c>
      <c r="H153" s="20">
        <v>0.26400000000000001</v>
      </c>
      <c r="I153" s="21">
        <f>ROUND((G153*(1+H153)),2)</f>
        <v>105.36</v>
      </c>
      <c r="J153" s="62">
        <f>ROUND((I153*F153),2)</f>
        <v>15661.87</v>
      </c>
    </row>
    <row r="154" spans="1:11" x14ac:dyDescent="0.2">
      <c r="A154" s="16" t="s">
        <v>255</v>
      </c>
      <c r="B154" s="16" t="s">
        <v>22</v>
      </c>
      <c r="C154" s="16">
        <v>105023</v>
      </c>
      <c r="D154" s="17" t="s">
        <v>149</v>
      </c>
      <c r="E154" s="16" t="s">
        <v>38</v>
      </c>
      <c r="F154" s="18">
        <f>((3.5+1.2+1.35)*1.2)</f>
        <v>7.2600000000000007</v>
      </c>
      <c r="G154" s="19">
        <v>75.021000000000001</v>
      </c>
      <c r="H154" s="20">
        <v>0.26400000000000001</v>
      </c>
      <c r="I154" s="21">
        <f t="shared" ref="I154:I160" si="36">ROUND((G154*(1+H154)),2)</f>
        <v>94.83</v>
      </c>
      <c r="J154" s="62">
        <f t="shared" ref="J154:J160" si="37">ROUND((I154*F154),2)</f>
        <v>688.47</v>
      </c>
    </row>
    <row r="155" spans="1:11" x14ac:dyDescent="0.2">
      <c r="A155" s="16" t="s">
        <v>256</v>
      </c>
      <c r="B155" s="16" t="s">
        <v>22</v>
      </c>
      <c r="C155" s="16">
        <v>105029</v>
      </c>
      <c r="D155" s="17" t="s">
        <v>151</v>
      </c>
      <c r="E155" s="16" t="s">
        <v>38</v>
      </c>
      <c r="F155" s="18">
        <f>1.2*1.2</f>
        <v>1.44</v>
      </c>
      <c r="G155" s="19">
        <v>56.499499999999998</v>
      </c>
      <c r="H155" s="20">
        <v>0.26400000000000001</v>
      </c>
      <c r="I155" s="21">
        <f t="shared" si="36"/>
        <v>71.42</v>
      </c>
      <c r="J155" s="62">
        <f t="shared" si="37"/>
        <v>102.84</v>
      </c>
    </row>
    <row r="156" spans="1:11" ht="25.5" x14ac:dyDescent="0.2">
      <c r="A156" s="16" t="s">
        <v>257</v>
      </c>
      <c r="B156" s="16" t="s">
        <v>22</v>
      </c>
      <c r="C156" s="16">
        <v>87905</v>
      </c>
      <c r="D156" s="17" t="s">
        <v>153</v>
      </c>
      <c r="E156" s="16" t="s">
        <v>24</v>
      </c>
      <c r="F156" s="18">
        <f>(F153*2)+(((6.48+28.35+12.4+22.73+6.07+2.03+2.09+3.98+5.47)*0.5)*2)</f>
        <v>386.90200000000016</v>
      </c>
      <c r="G156" s="19">
        <v>8.2705000000000002</v>
      </c>
      <c r="H156" s="20">
        <v>0.26400000000000001</v>
      </c>
      <c r="I156" s="21">
        <f t="shared" si="36"/>
        <v>10.45</v>
      </c>
      <c r="J156" s="62">
        <f t="shared" si="37"/>
        <v>4043.13</v>
      </c>
    </row>
    <row r="157" spans="1:11" ht="39" customHeight="1" x14ac:dyDescent="0.2">
      <c r="A157" s="16" t="s">
        <v>258</v>
      </c>
      <c r="B157" s="16" t="s">
        <v>22</v>
      </c>
      <c r="C157" s="16">
        <v>87775</v>
      </c>
      <c r="D157" s="17" t="s">
        <v>155</v>
      </c>
      <c r="E157" s="16" t="s">
        <v>24</v>
      </c>
      <c r="F157" s="18">
        <f>F156</f>
        <v>386.90200000000016</v>
      </c>
      <c r="G157" s="19">
        <v>54.06</v>
      </c>
      <c r="H157" s="20">
        <v>0.26400000000000001</v>
      </c>
      <c r="I157" s="21">
        <f t="shared" si="36"/>
        <v>68.33</v>
      </c>
      <c r="J157" s="62">
        <f t="shared" si="37"/>
        <v>26437.01</v>
      </c>
    </row>
    <row r="158" spans="1:11" ht="25.5" x14ac:dyDescent="0.2">
      <c r="A158" s="16" t="s">
        <v>259</v>
      </c>
      <c r="B158" s="16" t="s">
        <v>22</v>
      </c>
      <c r="C158" s="16">
        <v>88413</v>
      </c>
      <c r="D158" s="17" t="s">
        <v>260</v>
      </c>
      <c r="E158" s="16" t="s">
        <v>24</v>
      </c>
      <c r="F158" s="18">
        <f>F156-F161</f>
        <v>372.26800000000014</v>
      </c>
      <c r="G158" s="19">
        <v>4.9130000000000003</v>
      </c>
      <c r="H158" s="20">
        <v>0.26400000000000001</v>
      </c>
      <c r="I158" s="21">
        <f t="shared" si="36"/>
        <v>6.21</v>
      </c>
      <c r="J158" s="62">
        <f t="shared" si="37"/>
        <v>2311.7800000000002</v>
      </c>
    </row>
    <row r="159" spans="1:11" x14ac:dyDescent="0.2">
      <c r="A159" s="16" t="s">
        <v>261</v>
      </c>
      <c r="B159" s="16" t="s">
        <v>22</v>
      </c>
      <c r="C159" s="16">
        <v>88495</v>
      </c>
      <c r="D159" s="17" t="s">
        <v>182</v>
      </c>
      <c r="E159" s="16" t="s">
        <v>24</v>
      </c>
      <c r="F159" s="18">
        <f>F158</f>
        <v>372.26800000000014</v>
      </c>
      <c r="G159" s="19">
        <v>11.5685</v>
      </c>
      <c r="H159" s="20">
        <v>0.26400000000000001</v>
      </c>
      <c r="I159" s="21">
        <f t="shared" si="36"/>
        <v>14.62</v>
      </c>
      <c r="J159" s="62">
        <f t="shared" si="37"/>
        <v>5442.56</v>
      </c>
    </row>
    <row r="160" spans="1:11" ht="25.5" x14ac:dyDescent="0.2">
      <c r="A160" s="16" t="s">
        <v>262</v>
      </c>
      <c r="B160" s="16" t="s">
        <v>22</v>
      </c>
      <c r="C160" s="16">
        <v>88424</v>
      </c>
      <c r="D160" s="17" t="s">
        <v>161</v>
      </c>
      <c r="E160" s="16" t="s">
        <v>24</v>
      </c>
      <c r="F160" s="18">
        <f>F159</f>
        <v>372.26800000000014</v>
      </c>
      <c r="G160" s="19">
        <v>21.547499999999999</v>
      </c>
      <c r="H160" s="20">
        <v>0.26400000000000001</v>
      </c>
      <c r="I160" s="21">
        <f t="shared" si="36"/>
        <v>27.24</v>
      </c>
      <c r="J160" s="62">
        <f t="shared" si="37"/>
        <v>10140.58</v>
      </c>
    </row>
    <row r="161" spans="1:11" ht="25.5" x14ac:dyDescent="0.2">
      <c r="A161" s="16" t="s">
        <v>263</v>
      </c>
      <c r="B161" s="16" t="s">
        <v>22</v>
      </c>
      <c r="C161" s="16">
        <v>104612</v>
      </c>
      <c r="D161" s="17" t="s">
        <v>264</v>
      </c>
      <c r="E161" s="16" t="s">
        <v>24</v>
      </c>
      <c r="F161" s="18">
        <f>((1.67+1.67+1.93+1.93+1.93)*1.8)-(0.9*2)</f>
        <v>14.633999999999997</v>
      </c>
      <c r="G161" s="19">
        <v>77.24799999999999</v>
      </c>
      <c r="H161" s="20">
        <v>0.26400000000000001</v>
      </c>
      <c r="I161" s="21">
        <f>ROUND((G161*(1+H161)),2)</f>
        <v>97.64</v>
      </c>
      <c r="J161" s="62">
        <f>ROUND((I161*F161),2)</f>
        <v>1428.86</v>
      </c>
    </row>
    <row r="162" spans="1:11" ht="25.5" x14ac:dyDescent="0.2">
      <c r="A162" s="16" t="s">
        <v>265</v>
      </c>
      <c r="B162" s="16" t="s">
        <v>91</v>
      </c>
      <c r="C162" s="29" t="str">
        <f>'[4]Composição (2)'!B211</f>
        <v>Q29.1</v>
      </c>
      <c r="D162" s="30" t="str">
        <f>'[4]Composição (2)'!D211</f>
        <v>GUARDA-CORPO PANORÂMICO DE 1,10M, MONTANTES EM ALUMÍNIO DE 90X45 MM ESPAÇADOS DE 1,20M, VIDRO LAMINADO 8 MM, FIXADO COM ADESIVO ESTRUTURAL EPOXI. AF_10/2025</v>
      </c>
      <c r="E162" s="29" t="s">
        <v>38</v>
      </c>
      <c r="F162" s="31">
        <v>1.5</v>
      </c>
      <c r="G162" s="19">
        <v>910.37000000000012</v>
      </c>
      <c r="H162" s="20">
        <v>0.26400000000000001</v>
      </c>
      <c r="I162" s="21">
        <f>ROUND((G162*(1+H162)),2)</f>
        <v>1150.71</v>
      </c>
      <c r="J162" s="62">
        <f>ROUND((I162*F162),2)</f>
        <v>1726.07</v>
      </c>
    </row>
    <row r="163" spans="1:11" x14ac:dyDescent="0.2">
      <c r="A163" s="25"/>
      <c r="B163" s="25"/>
      <c r="C163" s="25"/>
      <c r="D163" s="25" t="s">
        <v>108</v>
      </c>
      <c r="E163" s="25"/>
      <c r="F163" s="25"/>
      <c r="G163" s="25"/>
      <c r="H163" s="25"/>
      <c r="I163" s="25"/>
      <c r="J163" s="61">
        <f>SUM(J152:J162)</f>
        <v>81579.08</v>
      </c>
    </row>
    <row r="164" spans="1:11" x14ac:dyDescent="0.2">
      <c r="A164" s="25" t="s">
        <v>266</v>
      </c>
      <c r="B164" s="26"/>
      <c r="C164" s="26"/>
      <c r="D164" s="26" t="s">
        <v>176</v>
      </c>
      <c r="E164" s="25"/>
      <c r="F164" s="34"/>
      <c r="G164" s="28"/>
      <c r="H164" s="25"/>
      <c r="I164" s="25"/>
      <c r="J164" s="61"/>
    </row>
    <row r="165" spans="1:11" ht="25.5" x14ac:dyDescent="0.2">
      <c r="A165" s="16" t="s">
        <v>267</v>
      </c>
      <c r="B165" s="16" t="s">
        <v>91</v>
      </c>
      <c r="C165" s="16" t="str">
        <f>'[4]Composição (2)'!B100</f>
        <v>Q14</v>
      </c>
      <c r="D165" s="17" t="str">
        <f>'[4]Composição (2)'!D100</f>
        <v>PAREDE COM SISTEMA EM CHAPAS DE GESSO RU (ÁREA MOLHADA) PARA DRYWALL, USO INTERNO, COM DUAS FACES SIMPLES E ESTRUTURA METÁLICA COM GUIAS SIMPLES PARA PAREDES COM ÁREA LÍQUIDA MAIOR OU IGUAL A 6 M2.</v>
      </c>
      <c r="E165" s="16" t="s">
        <v>24</v>
      </c>
      <c r="F165" s="18">
        <f>((1.93+1.93+1.67+1.67+0.4)*2.8)-((0.9*2.1)*2)</f>
        <v>17.499999999999996</v>
      </c>
      <c r="G165" s="19">
        <v>226.01499999999999</v>
      </c>
      <c r="H165" s="20">
        <v>0.26400000000000001</v>
      </c>
      <c r="I165" s="21">
        <f>ROUND((G165*(1+H165)),2)</f>
        <v>285.68</v>
      </c>
      <c r="J165" s="62">
        <f>ROUND((I165*F165),2)</f>
        <v>4999.3999999999996</v>
      </c>
    </row>
    <row r="166" spans="1:11" ht="25.5" x14ac:dyDescent="0.2">
      <c r="A166" s="16" t="s">
        <v>268</v>
      </c>
      <c r="B166" s="16" t="s">
        <v>91</v>
      </c>
      <c r="C166" s="16" t="str">
        <f>'[4]Composição (2)'!B112</f>
        <v>Q14.1</v>
      </c>
      <c r="D166" s="17" t="str">
        <f>'[4]Composição (2)'!D112</f>
        <v>PAREDE COM SISTEMA EM CHAPAS DE GESSO RU (ÁREA MOLHADA) PARA DRYWALL, USO INTERNO, COM UMA FACE SIMPLES E ESTRUTURA METÁLICA COM GUIA SIMPLES PARA PAREDES COM ÁREA LÍQUIDA MAIOR OU IGUAL A 6 M2.</v>
      </c>
      <c r="E166" s="16" t="s">
        <v>24</v>
      </c>
      <c r="F166" s="18">
        <f>(0.4+0.25+0.25+0.2+0.25+0.4)*4.5</f>
        <v>7.875</v>
      </c>
      <c r="G166" s="19">
        <v>91.409000000000006</v>
      </c>
      <c r="H166" s="20">
        <v>0.26400000000000001</v>
      </c>
      <c r="I166" s="21">
        <f>ROUND((G166*(1+H166)),2)</f>
        <v>115.54</v>
      </c>
      <c r="J166" s="62">
        <f>ROUND((I166*F166),2)</f>
        <v>909.88</v>
      </c>
    </row>
    <row r="167" spans="1:11" ht="25.5" x14ac:dyDescent="0.2">
      <c r="A167" s="16" t="s">
        <v>269</v>
      </c>
      <c r="B167" s="16" t="s">
        <v>22</v>
      </c>
      <c r="C167" s="16">
        <v>104719</v>
      </c>
      <c r="D167" s="17" t="s">
        <v>180</v>
      </c>
      <c r="E167" s="16" t="s">
        <v>24</v>
      </c>
      <c r="F167" s="18">
        <f>(((1.5+3.98)*2.6)+(12.1*4.5))-(0.9*2.1)</f>
        <v>66.807999999999993</v>
      </c>
      <c r="G167" s="19">
        <v>164.48349999999999</v>
      </c>
      <c r="H167" s="20">
        <v>0.26400000000000001</v>
      </c>
      <c r="I167" s="21">
        <f>ROUND((G167*(1+H167)),2)</f>
        <v>207.91</v>
      </c>
      <c r="J167" s="62">
        <f>ROUND((I167*F167),2)</f>
        <v>13890.05</v>
      </c>
    </row>
    <row r="168" spans="1:11" x14ac:dyDescent="0.2">
      <c r="A168" s="16" t="s">
        <v>270</v>
      </c>
      <c r="B168" s="16" t="s">
        <v>22</v>
      </c>
      <c r="C168" s="16">
        <v>88495</v>
      </c>
      <c r="D168" s="17" t="s">
        <v>182</v>
      </c>
      <c r="E168" s="16" t="s">
        <v>24</v>
      </c>
      <c r="F168" s="18">
        <f>F165+F167*2</f>
        <v>151.11599999999999</v>
      </c>
      <c r="G168" s="19">
        <v>11.5685</v>
      </c>
      <c r="H168" s="20">
        <v>0.26400000000000001</v>
      </c>
      <c r="I168" s="21">
        <f>ROUND((G168*(1+H168)),2)</f>
        <v>14.62</v>
      </c>
      <c r="J168" s="62">
        <f>ROUND((I168*F168),2)</f>
        <v>2209.3200000000002</v>
      </c>
    </row>
    <row r="169" spans="1:11" x14ac:dyDescent="0.2">
      <c r="A169" s="25"/>
      <c r="B169" s="25"/>
      <c r="C169" s="25"/>
      <c r="D169" s="25" t="s">
        <v>108</v>
      </c>
      <c r="E169" s="25"/>
      <c r="F169" s="25"/>
      <c r="G169" s="25"/>
      <c r="H169" s="25"/>
      <c r="I169" s="25"/>
      <c r="J169" s="61">
        <f>SUM(J165:J168)</f>
        <v>22008.649999999998</v>
      </c>
    </row>
    <row r="170" spans="1:11" s="24" customFormat="1" x14ac:dyDescent="0.2">
      <c r="A170" s="25" t="s">
        <v>271</v>
      </c>
      <c r="B170" s="25"/>
      <c r="C170" s="25"/>
      <c r="D170" s="26" t="s">
        <v>195</v>
      </c>
      <c r="E170" s="25"/>
      <c r="F170" s="27"/>
      <c r="G170" s="28"/>
      <c r="H170" s="25"/>
      <c r="I170" s="25"/>
      <c r="J170" s="61"/>
      <c r="K170" s="23"/>
    </row>
    <row r="171" spans="1:11" ht="25.5" x14ac:dyDescent="0.2">
      <c r="A171" s="16" t="s">
        <v>272</v>
      </c>
      <c r="B171" s="16" t="s">
        <v>91</v>
      </c>
      <c r="C171" s="16" t="str">
        <f>'[4]Composição (2)'!B229</f>
        <v>Q31</v>
      </c>
      <c r="D171" s="17" t="str">
        <f>'[4]Composição (2)'!D229</f>
        <v>JANELA DE ALUMÍNIO TIPO MAXIM-AR/BASCULANTE, CONFORME DETALHAMENTOS, COM VIDROS, BATENTE E FERRAGENS, VIDRO FIXO INFERIOR, INCLUSIVE ALIZAR, ACABAMENTO E CONTRAMARCO, FIXAÇÃO COM PARAFUSO. FORNECIMENTO E INSTALAÇÃO. AF_11/2024</v>
      </c>
      <c r="E171" s="16" t="s">
        <v>24</v>
      </c>
      <c r="F171" s="18">
        <f>(1.8*9)+(3.24+2.52)+(1.8*10)</f>
        <v>39.96</v>
      </c>
      <c r="G171" s="19">
        <v>639.31050000000005</v>
      </c>
      <c r="H171" s="20">
        <v>0.26400000000000001</v>
      </c>
      <c r="I171" s="21">
        <f t="shared" ref="I171:I173" si="38">ROUND((G171*(1+H171)),2)</f>
        <v>808.09</v>
      </c>
      <c r="J171" s="62">
        <f t="shared" ref="J171:J173" si="39">ROUND((I171*F171),2)</f>
        <v>32291.279999999999</v>
      </c>
    </row>
    <row r="172" spans="1:11" ht="25.5" x14ac:dyDescent="0.2">
      <c r="A172" s="16" t="s">
        <v>273</v>
      </c>
      <c r="B172" s="16" t="s">
        <v>91</v>
      </c>
      <c r="C172" s="16" t="str">
        <f>'[4]Composição (2)'!B53</f>
        <v>Q06</v>
      </c>
      <c r="D172" s="17" t="str">
        <f>'[4]Composição (2)'!D53</f>
        <v>JANELA DE ALUMÍNIO TIPO MAXIN-AR/BASCULANTE, CONFORME DETALHAMENTOS, COM VIDROS, BATENTE E FERRAGENS, INCLUSIVE ALIZAR, ACABAMENTO E CONTRAMARCO, FIXAÇÃO COM PARAFUSO. FORNECIMENTO E INSTALAÇÃO. AF_11/2024</v>
      </c>
      <c r="E172" s="16" t="s">
        <v>24</v>
      </c>
      <c r="F172" s="18">
        <f>0.7*2</f>
        <v>1.4</v>
      </c>
      <c r="G172" s="19">
        <v>548.7175000000002</v>
      </c>
      <c r="H172" s="20">
        <v>0.26400000000000001</v>
      </c>
      <c r="I172" s="21">
        <f t="shared" si="38"/>
        <v>693.58</v>
      </c>
      <c r="J172" s="62">
        <f t="shared" si="39"/>
        <v>971.01</v>
      </c>
    </row>
    <row r="173" spans="1:11" ht="25.5" x14ac:dyDescent="0.2">
      <c r="A173" s="16" t="s">
        <v>274</v>
      </c>
      <c r="B173" s="16" t="s">
        <v>91</v>
      </c>
      <c r="C173" s="16" t="str">
        <f>'[4]Composição (2)'!B236</f>
        <v>Q32</v>
      </c>
      <c r="D173" s="17" t="str">
        <f>'[4]Composição (2)'!D236</f>
        <v>PORTA DE CORRER DE ALUMÍNIO, COM TRÊS FOLHAS PARA VIDRO, INCLUSO VIDRO LISO INCOLOR, FECHADURA E PUXADOR, INCLUSIVE ALIZAR/GUARNIÇÃO</v>
      </c>
      <c r="E173" s="16" t="s">
        <v>24</v>
      </c>
      <c r="F173" s="18">
        <v>8.75</v>
      </c>
      <c r="G173" s="19">
        <v>693.09849999999994</v>
      </c>
      <c r="H173" s="20">
        <v>0.26400000000000001</v>
      </c>
      <c r="I173" s="21">
        <f t="shared" si="38"/>
        <v>876.08</v>
      </c>
      <c r="J173" s="62">
        <f t="shared" si="39"/>
        <v>7665.7</v>
      </c>
    </row>
    <row r="174" spans="1:11" ht="38.25" x14ac:dyDescent="0.2">
      <c r="A174" s="16" t="s">
        <v>275</v>
      </c>
      <c r="B174" s="16" t="s">
        <v>91</v>
      </c>
      <c r="C174" s="16" t="str">
        <f>'[4]Composição (2)'!B72</f>
        <v>Q09</v>
      </c>
      <c r="D174" s="17" t="str">
        <f>'[4]Composição (2)'!D72</f>
        <v>KIT DE PORTA-PRONTA DE MADEIRA EM ACABAMENTO LAQUEADO FOSCO BRANCO, FOLHA LEVE OU MÉDIA, 90X210, INCLUSIVE MARCO, ALIZAR, DOBRADIÇA, FECHADURA COM EXECUÇÃO DO FURO, FIXAÇÃO COM PREENCHIMENTO TOTAL DE ESPUMA EXPANSIVA - FORNECIMENTO E INSTALAÇÃO. AF_12/2019</v>
      </c>
      <c r="E174" s="16" t="s">
        <v>174</v>
      </c>
      <c r="F174" s="18">
        <v>4</v>
      </c>
      <c r="G174" s="19">
        <v>916.80149999999992</v>
      </c>
      <c r="H174" s="20">
        <v>0.26400000000000001</v>
      </c>
      <c r="I174" s="21">
        <f>ROUND((G174*(1+H174)),2)</f>
        <v>1158.8399999999999</v>
      </c>
      <c r="J174" s="62">
        <f>ROUND((I174*F174),2)</f>
        <v>4635.3599999999997</v>
      </c>
    </row>
    <row r="175" spans="1:11" x14ac:dyDescent="0.2">
      <c r="A175" s="16" t="s">
        <v>276</v>
      </c>
      <c r="B175" s="16" t="s">
        <v>22</v>
      </c>
      <c r="C175" s="29">
        <v>101965</v>
      </c>
      <c r="D175" s="30" t="s">
        <v>204</v>
      </c>
      <c r="E175" s="29" t="s">
        <v>38</v>
      </c>
      <c r="F175" s="31">
        <v>24</v>
      </c>
      <c r="G175" s="19">
        <v>155.6095</v>
      </c>
      <c r="H175" s="20">
        <v>0.26400000000000001</v>
      </c>
      <c r="I175" s="21">
        <f t="shared" ref="I175" si="40">ROUND((G175*(1+H175)),2)</f>
        <v>196.69</v>
      </c>
      <c r="J175" s="62">
        <f t="shared" ref="J175" si="41">ROUND((I175*F175),2)</f>
        <v>4720.5600000000004</v>
      </c>
    </row>
    <row r="176" spans="1:11" x14ac:dyDescent="0.2">
      <c r="A176" s="25"/>
      <c r="B176" s="25"/>
      <c r="C176" s="25"/>
      <c r="D176" s="25" t="s">
        <v>108</v>
      </c>
      <c r="E176" s="25"/>
      <c r="F176" s="25"/>
      <c r="G176" s="25"/>
      <c r="H176" s="25"/>
      <c r="I176" s="25"/>
      <c r="J176" s="61">
        <f>SUM(J171:J175)</f>
        <v>50283.909999999996</v>
      </c>
    </row>
    <row r="177" spans="1:11" s="24" customFormat="1" x14ac:dyDescent="0.2">
      <c r="A177" s="25" t="s">
        <v>277</v>
      </c>
      <c r="B177" s="25"/>
      <c r="C177" s="25"/>
      <c r="D177" s="26" t="s">
        <v>278</v>
      </c>
      <c r="E177" s="25"/>
      <c r="F177" s="27"/>
      <c r="G177" s="28"/>
      <c r="H177" s="25"/>
      <c r="I177" s="25"/>
      <c r="J177" s="61"/>
      <c r="K177" s="23"/>
    </row>
    <row r="178" spans="1:11" ht="25.5" x14ac:dyDescent="0.2">
      <c r="A178" s="16" t="s">
        <v>279</v>
      </c>
      <c r="B178" s="16" t="s">
        <v>22</v>
      </c>
      <c r="C178" s="29">
        <v>87630</v>
      </c>
      <c r="D178" s="30" t="s">
        <v>280</v>
      </c>
      <c r="E178" s="29" t="s">
        <v>24</v>
      </c>
      <c r="F178" s="31">
        <f>307.5322+9.53+((14.34+((1.5*0.17)*24)))</f>
        <v>337.52219999999994</v>
      </c>
      <c r="G178" s="19">
        <v>41.9985</v>
      </c>
      <c r="H178" s="20">
        <v>0.26400000000000001</v>
      </c>
      <c r="I178" s="21">
        <f t="shared" ref="I178:I180" si="42">ROUND((G178*(1+H178)),2)</f>
        <v>53.09</v>
      </c>
      <c r="J178" s="62">
        <f t="shared" ref="J178:J180" si="43">ROUND((I178*F178),2)</f>
        <v>17919.05</v>
      </c>
    </row>
    <row r="179" spans="1:11" ht="25.5" x14ac:dyDescent="0.2">
      <c r="A179" s="16" t="s">
        <v>281</v>
      </c>
      <c r="B179" s="16" t="s">
        <v>22</v>
      </c>
      <c r="C179" s="29">
        <v>104598</v>
      </c>
      <c r="D179" s="30" t="s">
        <v>282</v>
      </c>
      <c r="E179" s="29" t="s">
        <v>24</v>
      </c>
      <c r="F179" s="31">
        <f>F178</f>
        <v>337.52219999999994</v>
      </c>
      <c r="G179" s="19">
        <v>89.878999999999991</v>
      </c>
      <c r="H179" s="20">
        <v>0.26400000000000001</v>
      </c>
      <c r="I179" s="21">
        <f t="shared" si="42"/>
        <v>113.61</v>
      </c>
      <c r="J179" s="62">
        <f t="shared" si="43"/>
        <v>38345.9</v>
      </c>
    </row>
    <row r="180" spans="1:11" ht="25.5" x14ac:dyDescent="0.2">
      <c r="A180" s="16" t="s">
        <v>283</v>
      </c>
      <c r="B180" s="16" t="s">
        <v>22</v>
      </c>
      <c r="C180" s="29">
        <v>104619</v>
      </c>
      <c r="D180" s="30" t="s">
        <v>284</v>
      </c>
      <c r="E180" s="29" t="s">
        <v>38</v>
      </c>
      <c r="F180" s="31">
        <f>(59.96+7.1997+7.1997+11.63+52.2)-((0.9*4)+(3.5))</f>
        <v>131.08939999999998</v>
      </c>
      <c r="G180" s="19">
        <v>11.271000000000001</v>
      </c>
      <c r="H180" s="20">
        <v>0.26400000000000001</v>
      </c>
      <c r="I180" s="21">
        <f t="shared" si="42"/>
        <v>14.25</v>
      </c>
      <c r="J180" s="62">
        <f t="shared" si="43"/>
        <v>1868.02</v>
      </c>
    </row>
    <row r="181" spans="1:11" x14ac:dyDescent="0.2">
      <c r="A181" s="25"/>
      <c r="B181" s="25"/>
      <c r="C181" s="25"/>
      <c r="D181" s="25" t="s">
        <v>108</v>
      </c>
      <c r="E181" s="25"/>
      <c r="F181" s="25"/>
      <c r="G181" s="25"/>
      <c r="H181" s="25"/>
      <c r="I181" s="25"/>
      <c r="J181" s="61">
        <f>SUM(J178:J180)</f>
        <v>58132.969999999994</v>
      </c>
    </row>
    <row r="182" spans="1:11" s="24" customFormat="1" x14ac:dyDescent="0.2">
      <c r="A182" s="25" t="s">
        <v>285</v>
      </c>
      <c r="B182" s="25"/>
      <c r="C182" s="25"/>
      <c r="D182" s="26" t="s">
        <v>226</v>
      </c>
      <c r="E182" s="25"/>
      <c r="F182" s="27"/>
      <c r="G182" s="28"/>
      <c r="H182" s="25"/>
      <c r="I182" s="25"/>
      <c r="J182" s="61"/>
      <c r="K182" s="23"/>
    </row>
    <row r="183" spans="1:11" ht="25.5" x14ac:dyDescent="0.2">
      <c r="A183" s="16" t="s">
        <v>286</v>
      </c>
      <c r="B183" s="16" t="s">
        <v>22</v>
      </c>
      <c r="C183" s="29">
        <v>95471</v>
      </c>
      <c r="D183" s="30" t="s">
        <v>230</v>
      </c>
      <c r="E183" s="29" t="s">
        <v>62</v>
      </c>
      <c r="F183" s="31">
        <v>2</v>
      </c>
      <c r="G183" s="19">
        <v>683.77400000000011</v>
      </c>
      <c r="H183" s="20">
        <v>0.26400000000000001</v>
      </c>
      <c r="I183" s="21">
        <f t="shared" ref="I183:I191" si="44">ROUND((G183*(1+H183)),2)</f>
        <v>864.29</v>
      </c>
      <c r="J183" s="62">
        <f t="shared" ref="J183:J191" si="45">ROUND((I183*F183),2)</f>
        <v>1728.58</v>
      </c>
    </row>
    <row r="184" spans="1:11" ht="25.5" x14ac:dyDescent="0.2">
      <c r="A184" s="16" t="s">
        <v>287</v>
      </c>
      <c r="B184" s="16" t="s">
        <v>22</v>
      </c>
      <c r="C184" s="29">
        <v>86939</v>
      </c>
      <c r="D184" s="30" t="s">
        <v>234</v>
      </c>
      <c r="E184" s="29" t="s">
        <v>62</v>
      </c>
      <c r="F184" s="31">
        <v>2</v>
      </c>
      <c r="G184" s="19">
        <v>395.233</v>
      </c>
      <c r="H184" s="20">
        <v>0.26400000000000001</v>
      </c>
      <c r="I184" s="21">
        <f t="shared" si="44"/>
        <v>499.57</v>
      </c>
      <c r="J184" s="62">
        <f t="shared" si="45"/>
        <v>999.14</v>
      </c>
    </row>
    <row r="185" spans="1:11" x14ac:dyDescent="0.2">
      <c r="A185" s="16" t="s">
        <v>288</v>
      </c>
      <c r="B185" s="16" t="s">
        <v>91</v>
      </c>
      <c r="C185" s="29" t="str">
        <f>'[4]Composição (2)'!B169</f>
        <v>Q24</v>
      </c>
      <c r="D185" s="30" t="str">
        <f>'[4]Composição (2)'!D169</f>
        <v>BARRA DE APOIO RETA, EM AÇO INOX POLIDO, COMPRIMENTO 40 CM, FIXADA NA PAREDE - FORNECIMENTO E INSTALAÇÃO. AF_02/2026</v>
      </c>
      <c r="E185" s="29" t="s">
        <v>174</v>
      </c>
      <c r="F185" s="31">
        <v>4</v>
      </c>
      <c r="G185" s="19">
        <v>241.71450000000002</v>
      </c>
      <c r="H185" s="20">
        <v>0.26400000000000001</v>
      </c>
      <c r="I185" s="21">
        <f t="shared" si="44"/>
        <v>305.52999999999997</v>
      </c>
      <c r="J185" s="62">
        <f t="shared" si="45"/>
        <v>1222.1199999999999</v>
      </c>
    </row>
    <row r="186" spans="1:11" x14ac:dyDescent="0.2">
      <c r="A186" s="16" t="s">
        <v>289</v>
      </c>
      <c r="B186" s="16" t="s">
        <v>91</v>
      </c>
      <c r="C186" s="29" t="str">
        <f>'[4]Composição (2)'!B324</f>
        <v>Q43</v>
      </c>
      <c r="D186" s="30" t="str">
        <f>'[4]Composição (2)'!D324</f>
        <v>PUXADOR PARA PCD (BARRA 40CM), FIXADO NA PORTA - FORNECIMENTO E INSTALAÇÃO. AF_02/2026</v>
      </c>
      <c r="E186" s="29" t="s">
        <v>62</v>
      </c>
      <c r="F186" s="31">
        <v>2</v>
      </c>
      <c r="G186" s="19">
        <v>246.56800000000004</v>
      </c>
      <c r="H186" s="20">
        <v>0.26400000000000001</v>
      </c>
      <c r="I186" s="21">
        <f t="shared" si="44"/>
        <v>311.66000000000003</v>
      </c>
      <c r="J186" s="62">
        <f t="shared" si="45"/>
        <v>623.32000000000005</v>
      </c>
    </row>
    <row r="187" spans="1:11" x14ac:dyDescent="0.2">
      <c r="A187" s="16" t="s">
        <v>290</v>
      </c>
      <c r="B187" s="16" t="s">
        <v>22</v>
      </c>
      <c r="C187" s="29">
        <v>100867</v>
      </c>
      <c r="D187" s="30" t="s">
        <v>240</v>
      </c>
      <c r="E187" s="29" t="s">
        <v>62</v>
      </c>
      <c r="F187" s="31">
        <v>2</v>
      </c>
      <c r="G187" s="19">
        <v>315.20549999999997</v>
      </c>
      <c r="H187" s="20">
        <v>0.26400000000000001</v>
      </c>
      <c r="I187" s="21">
        <f t="shared" si="44"/>
        <v>398.42</v>
      </c>
      <c r="J187" s="62">
        <f t="shared" si="45"/>
        <v>796.84</v>
      </c>
    </row>
    <row r="188" spans="1:11" x14ac:dyDescent="0.2">
      <c r="A188" s="16" t="s">
        <v>291</v>
      </c>
      <c r="B188" s="16" t="s">
        <v>22</v>
      </c>
      <c r="C188" s="29">
        <v>100868</v>
      </c>
      <c r="D188" s="30" t="s">
        <v>242</v>
      </c>
      <c r="E188" s="29" t="s">
        <v>62</v>
      </c>
      <c r="F188" s="31">
        <v>4</v>
      </c>
      <c r="G188" s="19">
        <v>326.57</v>
      </c>
      <c r="H188" s="20">
        <v>0.26400000000000001</v>
      </c>
      <c r="I188" s="21">
        <f t="shared" si="44"/>
        <v>412.78</v>
      </c>
      <c r="J188" s="62">
        <f t="shared" si="45"/>
        <v>1651.12</v>
      </c>
    </row>
    <row r="189" spans="1:11" x14ac:dyDescent="0.2">
      <c r="A189" s="16" t="s">
        <v>292</v>
      </c>
      <c r="B189" s="16" t="s">
        <v>22</v>
      </c>
      <c r="C189" s="29">
        <v>106766</v>
      </c>
      <c r="D189" s="30" t="s">
        <v>244</v>
      </c>
      <c r="E189" s="29" t="s">
        <v>62</v>
      </c>
      <c r="F189" s="31">
        <v>2</v>
      </c>
      <c r="G189" s="19">
        <v>72.980999999999995</v>
      </c>
      <c r="H189" s="20">
        <v>0.26400000000000001</v>
      </c>
      <c r="I189" s="21">
        <f t="shared" si="44"/>
        <v>92.25</v>
      </c>
      <c r="J189" s="62">
        <f t="shared" si="45"/>
        <v>184.5</v>
      </c>
    </row>
    <row r="190" spans="1:11" x14ac:dyDescent="0.2">
      <c r="A190" s="16" t="s">
        <v>293</v>
      </c>
      <c r="B190" s="16" t="s">
        <v>22</v>
      </c>
      <c r="C190" s="29">
        <v>95547</v>
      </c>
      <c r="D190" s="30" t="s">
        <v>246</v>
      </c>
      <c r="E190" s="29" t="s">
        <v>62</v>
      </c>
      <c r="F190" s="31">
        <v>2</v>
      </c>
      <c r="G190" s="19">
        <v>63.996500000000005</v>
      </c>
      <c r="H190" s="20">
        <v>0.26400000000000001</v>
      </c>
      <c r="I190" s="21">
        <f t="shared" si="44"/>
        <v>80.89</v>
      </c>
      <c r="J190" s="62">
        <f t="shared" si="45"/>
        <v>161.78</v>
      </c>
    </row>
    <row r="191" spans="1:11" x14ac:dyDescent="0.2">
      <c r="A191" s="16" t="s">
        <v>294</v>
      </c>
      <c r="B191" s="16" t="s">
        <v>22</v>
      </c>
      <c r="C191" s="29">
        <v>106765</v>
      </c>
      <c r="D191" s="30" t="s">
        <v>248</v>
      </c>
      <c r="E191" s="29" t="s">
        <v>62</v>
      </c>
      <c r="F191" s="31">
        <v>2</v>
      </c>
      <c r="G191" s="19">
        <v>72.980999999999995</v>
      </c>
      <c r="H191" s="20">
        <v>0.26400000000000001</v>
      </c>
      <c r="I191" s="21">
        <f t="shared" si="44"/>
        <v>92.25</v>
      </c>
      <c r="J191" s="62">
        <f t="shared" si="45"/>
        <v>184.5</v>
      </c>
    </row>
    <row r="192" spans="1:11" x14ac:dyDescent="0.2">
      <c r="A192" s="16" t="s">
        <v>295</v>
      </c>
      <c r="B192" s="16" t="s">
        <v>173</v>
      </c>
      <c r="C192" s="29">
        <v>3</v>
      </c>
      <c r="D192" s="30" t="str">
        <f>[4]Cotação!C27</f>
        <v>LIXEIRA DE AÇO INOX 3 LITROS COM TAMPA VAI E VEM (PCD)</v>
      </c>
      <c r="E192" s="29" t="s">
        <v>62</v>
      </c>
      <c r="F192" s="31">
        <v>2</v>
      </c>
      <c r="G192" s="19">
        <v>72.25</v>
      </c>
      <c r="H192" s="20">
        <v>0.26400000000000001</v>
      </c>
      <c r="I192" s="21">
        <f>ROUND((G192*(1+H192)),2)</f>
        <v>91.32</v>
      </c>
      <c r="J192" s="62">
        <f>ROUND((I192*F192),2)</f>
        <v>182.64</v>
      </c>
    </row>
    <row r="193" spans="1:11" x14ac:dyDescent="0.2">
      <c r="A193" s="25"/>
      <c r="B193" s="25"/>
      <c r="C193" s="25"/>
      <c r="D193" s="25" t="s">
        <v>108</v>
      </c>
      <c r="E193" s="25"/>
      <c r="F193" s="25"/>
      <c r="G193" s="25"/>
      <c r="H193" s="25"/>
      <c r="I193" s="25"/>
      <c r="J193" s="61">
        <f>SUM(J183:J192)</f>
        <v>7734.54</v>
      </c>
    </row>
    <row r="194" spans="1:11" ht="15.75" customHeight="1" x14ac:dyDescent="0.2">
      <c r="A194" s="144" t="s">
        <v>43</v>
      </c>
      <c r="B194" s="145"/>
      <c r="C194" s="145"/>
      <c r="D194" s="145"/>
      <c r="E194" s="145"/>
      <c r="F194" s="145"/>
      <c r="G194" s="145"/>
      <c r="H194" s="145"/>
      <c r="I194" s="146"/>
      <c r="J194" s="60">
        <f>SUM(J163,J169,J176,J181,J193)</f>
        <v>219739.15</v>
      </c>
    </row>
    <row r="195" spans="1:11" s="24" customFormat="1" x14ac:dyDescent="0.2">
      <c r="A195" s="12">
        <v>5</v>
      </c>
      <c r="B195" s="12"/>
      <c r="C195" s="12"/>
      <c r="D195" s="13" t="s">
        <v>296</v>
      </c>
      <c r="E195" s="12"/>
      <c r="F195" s="14"/>
      <c r="G195" s="15"/>
      <c r="H195" s="12"/>
      <c r="I195" s="12"/>
      <c r="J195" s="60"/>
      <c r="K195" s="23"/>
    </row>
    <row r="196" spans="1:11" s="24" customFormat="1" x14ac:dyDescent="0.2">
      <c r="A196" s="25" t="s">
        <v>297</v>
      </c>
      <c r="B196" s="25"/>
      <c r="C196" s="25"/>
      <c r="D196" s="26" t="s">
        <v>144</v>
      </c>
      <c r="E196" s="25"/>
      <c r="F196" s="27"/>
      <c r="G196" s="28"/>
      <c r="H196" s="25"/>
      <c r="I196" s="25"/>
      <c r="J196" s="61"/>
      <c r="K196" s="23"/>
    </row>
    <row r="197" spans="1:11" ht="25.5" x14ac:dyDescent="0.2">
      <c r="A197" s="16" t="s">
        <v>298</v>
      </c>
      <c r="B197" s="16" t="s">
        <v>91</v>
      </c>
      <c r="C197" s="16" t="str">
        <f>'[4]Composição (2)'!B144</f>
        <v>Q18</v>
      </c>
      <c r="D197" s="17" t="str">
        <f>'[4]Composição (2)'!D144</f>
        <v>ALVENARIA DE VEDAÇÃO COM ELEMENTO VAZADO EM LOUÇA (COBOGÓ) DE 7X20X20CM E ARGAMASSA DE ASSENTAMENTO COM PREPARO EM BETONEIRA. AF_05/2020</v>
      </c>
      <c r="E197" s="16" t="s">
        <v>24</v>
      </c>
      <c r="F197" s="18">
        <f>(5.62*1.4)+(11.32*3.2)</f>
        <v>44.092000000000006</v>
      </c>
      <c r="G197" s="19">
        <v>226.7715</v>
      </c>
      <c r="H197" s="20">
        <v>0.26400000000000001</v>
      </c>
      <c r="I197" s="21">
        <f t="shared" ref="I197" si="46">ROUND((G197*(1+H197)),2)</f>
        <v>286.64</v>
      </c>
      <c r="J197" s="62">
        <f t="shared" ref="J197" si="47">ROUND((I197*F197),2)</f>
        <v>12638.53</v>
      </c>
    </row>
    <row r="198" spans="1:11" ht="38.25" x14ac:dyDescent="0.2">
      <c r="A198" s="16" t="s">
        <v>299</v>
      </c>
      <c r="B198" s="16" t="s">
        <v>22</v>
      </c>
      <c r="C198" s="16">
        <v>103360</v>
      </c>
      <c r="D198" s="17" t="s">
        <v>147</v>
      </c>
      <c r="E198" s="16" t="s">
        <v>24</v>
      </c>
      <c r="F198" s="18">
        <f>((28.65+6.33+5.62+5.92+22.73+12.25)*1.25)+(1.7*(5.62+3.08))</f>
        <v>116.66499999999999</v>
      </c>
      <c r="G198" s="19">
        <v>83.350999999999999</v>
      </c>
      <c r="H198" s="20">
        <v>0.26400000000000001</v>
      </c>
      <c r="I198" s="21">
        <f>ROUND((G198*(1+H198)),2)</f>
        <v>105.36</v>
      </c>
      <c r="J198" s="62">
        <f>ROUND((I198*F198),2)</f>
        <v>12291.82</v>
      </c>
    </row>
    <row r="199" spans="1:11" ht="40.5" customHeight="1" x14ac:dyDescent="0.2">
      <c r="A199" s="16" t="s">
        <v>300</v>
      </c>
      <c r="B199" s="16" t="s">
        <v>22</v>
      </c>
      <c r="C199" s="16">
        <v>87905</v>
      </c>
      <c r="D199" s="17" t="s">
        <v>301</v>
      </c>
      <c r="E199" s="16" t="s">
        <v>24</v>
      </c>
      <c r="F199" s="18">
        <f>(F198*2)+(((28.65+6.33+5.62+5.92+22.73+12.25)*0.3)*2)+(30.4*2)</f>
        <v>343.03</v>
      </c>
      <c r="G199" s="19">
        <v>8.2705000000000002</v>
      </c>
      <c r="H199" s="20">
        <v>0.26400000000000001</v>
      </c>
      <c r="I199" s="21">
        <f t="shared" ref="I199:I205" si="48">ROUND((G199*(1+H199)),2)</f>
        <v>10.45</v>
      </c>
      <c r="J199" s="62">
        <f t="shared" ref="J199:J205" si="49">ROUND((I199*F199),2)</f>
        <v>3584.66</v>
      </c>
    </row>
    <row r="200" spans="1:11" ht="39" customHeight="1" x14ac:dyDescent="0.2">
      <c r="A200" s="16" t="s">
        <v>302</v>
      </c>
      <c r="B200" s="16" t="s">
        <v>22</v>
      </c>
      <c r="C200" s="16">
        <v>87775</v>
      </c>
      <c r="D200" s="17" t="s">
        <v>155</v>
      </c>
      <c r="E200" s="16" t="s">
        <v>24</v>
      </c>
      <c r="F200" s="18">
        <f>F199</f>
        <v>343.03</v>
      </c>
      <c r="G200" s="19">
        <v>54.06</v>
      </c>
      <c r="H200" s="20">
        <v>0.26400000000000001</v>
      </c>
      <c r="I200" s="21">
        <f t="shared" si="48"/>
        <v>68.33</v>
      </c>
      <c r="J200" s="62">
        <f t="shared" si="49"/>
        <v>23439.24</v>
      </c>
    </row>
    <row r="201" spans="1:11" x14ac:dyDescent="0.2">
      <c r="A201" s="16" t="s">
        <v>303</v>
      </c>
      <c r="B201" s="16" t="s">
        <v>22</v>
      </c>
      <c r="C201" s="16">
        <v>98555</v>
      </c>
      <c r="D201" s="17" t="s">
        <v>304</v>
      </c>
      <c r="E201" s="16" t="s">
        <v>24</v>
      </c>
      <c r="F201" s="18">
        <f>30.4*1.15</f>
        <v>34.959999999999994</v>
      </c>
      <c r="G201" s="19">
        <v>27.744</v>
      </c>
      <c r="H201" s="20">
        <v>0.26400000000000001</v>
      </c>
      <c r="I201" s="21">
        <f t="shared" si="48"/>
        <v>35.07</v>
      </c>
      <c r="J201" s="62">
        <f t="shared" si="49"/>
        <v>1226.05</v>
      </c>
    </row>
    <row r="202" spans="1:11" ht="25.5" x14ac:dyDescent="0.2">
      <c r="A202" s="16" t="s">
        <v>305</v>
      </c>
      <c r="B202" s="16" t="s">
        <v>22</v>
      </c>
      <c r="C202" s="16">
        <v>88413</v>
      </c>
      <c r="D202" s="17" t="s">
        <v>260</v>
      </c>
      <c r="E202" s="16" t="s">
        <v>24</v>
      </c>
      <c r="F202" s="18">
        <f>F199</f>
        <v>343.03</v>
      </c>
      <c r="G202" s="19">
        <v>4.9130000000000003</v>
      </c>
      <c r="H202" s="20">
        <v>0.26400000000000001</v>
      </c>
      <c r="I202" s="21">
        <f t="shared" si="48"/>
        <v>6.21</v>
      </c>
      <c r="J202" s="62">
        <f t="shared" si="49"/>
        <v>2130.2199999999998</v>
      </c>
    </row>
    <row r="203" spans="1:11" x14ac:dyDescent="0.2">
      <c r="A203" s="16" t="s">
        <v>306</v>
      </c>
      <c r="B203" s="16" t="s">
        <v>22</v>
      </c>
      <c r="C203" s="16">
        <v>88497</v>
      </c>
      <c r="D203" s="17" t="s">
        <v>159</v>
      </c>
      <c r="E203" s="16" t="s">
        <v>24</v>
      </c>
      <c r="F203" s="18">
        <f>F202</f>
        <v>343.03</v>
      </c>
      <c r="G203" s="19">
        <v>17.926500000000001</v>
      </c>
      <c r="H203" s="20">
        <v>0.26400000000000001</v>
      </c>
      <c r="I203" s="21">
        <f t="shared" si="48"/>
        <v>22.66</v>
      </c>
      <c r="J203" s="62">
        <f t="shared" si="49"/>
        <v>7773.06</v>
      </c>
    </row>
    <row r="204" spans="1:11" ht="25.5" x14ac:dyDescent="0.2">
      <c r="A204" s="16" t="s">
        <v>307</v>
      </c>
      <c r="B204" s="16" t="s">
        <v>22</v>
      </c>
      <c r="C204" s="16">
        <v>88424</v>
      </c>
      <c r="D204" s="17" t="s">
        <v>161</v>
      </c>
      <c r="E204" s="16" t="s">
        <v>24</v>
      </c>
      <c r="F204" s="18">
        <f>F203</f>
        <v>343.03</v>
      </c>
      <c r="G204" s="19">
        <v>21.547499999999999</v>
      </c>
      <c r="H204" s="20">
        <v>0.26400000000000001</v>
      </c>
      <c r="I204" s="21">
        <f t="shared" si="48"/>
        <v>27.24</v>
      </c>
      <c r="J204" s="62">
        <f t="shared" si="49"/>
        <v>9344.14</v>
      </c>
    </row>
    <row r="205" spans="1:11" ht="25.5" x14ac:dyDescent="0.2">
      <c r="A205" s="16" t="s">
        <v>308</v>
      </c>
      <c r="B205" s="16" t="s">
        <v>173</v>
      </c>
      <c r="C205" s="16">
        <v>18</v>
      </c>
      <c r="D205" s="17" t="str">
        <f>[4]Cotação!C152</f>
        <v>LETREIRO EM PVC 20MM, DIMENSÕES DE 10X0,50M, COM SOBREPOSTO EM ACM PRATA, COM CAVA DE 1,50CM PARA APLICAÇÃO DE LED (INCLUSO), COM PINOS DE 30MM PARA AFASTAMENTO DA PAREDE - INSTALAÇÃO E FORNECIMENTO</v>
      </c>
      <c r="E205" s="16" t="s">
        <v>174</v>
      </c>
      <c r="F205" s="18">
        <v>1</v>
      </c>
      <c r="G205" s="19">
        <v>3825</v>
      </c>
      <c r="H205" s="20">
        <v>0.26400000000000001</v>
      </c>
      <c r="I205" s="21">
        <f t="shared" si="48"/>
        <v>4834.8</v>
      </c>
      <c r="J205" s="62">
        <f t="shared" si="49"/>
        <v>4834.8</v>
      </c>
    </row>
    <row r="206" spans="1:11" x14ac:dyDescent="0.2">
      <c r="A206" s="25"/>
      <c r="B206" s="25"/>
      <c r="C206" s="25"/>
      <c r="D206" s="25" t="s">
        <v>108</v>
      </c>
      <c r="E206" s="25"/>
      <c r="F206" s="25"/>
      <c r="G206" s="25"/>
      <c r="H206" s="25"/>
      <c r="I206" s="25"/>
      <c r="J206" s="61">
        <f>SUM(J197:J205)</f>
        <v>77262.52</v>
      </c>
    </row>
    <row r="207" spans="1:11" s="24" customFormat="1" x14ac:dyDescent="0.2">
      <c r="A207" s="25" t="s">
        <v>309</v>
      </c>
      <c r="B207" s="25"/>
      <c r="C207" s="25"/>
      <c r="D207" s="26" t="s">
        <v>310</v>
      </c>
      <c r="E207" s="25"/>
      <c r="F207" s="27"/>
      <c r="G207" s="28"/>
      <c r="H207" s="25"/>
      <c r="I207" s="25"/>
      <c r="J207" s="61"/>
      <c r="K207" s="23"/>
    </row>
    <row r="208" spans="1:11" ht="25.5" x14ac:dyDescent="0.2">
      <c r="A208" s="16" t="s">
        <v>311</v>
      </c>
      <c r="B208" s="16" t="s">
        <v>22</v>
      </c>
      <c r="C208" s="29">
        <v>87630</v>
      </c>
      <c r="D208" s="30" t="s">
        <v>280</v>
      </c>
      <c r="E208" s="29" t="s">
        <v>24</v>
      </c>
      <c r="F208" s="31">
        <v>21</v>
      </c>
      <c r="G208" s="19">
        <v>41.9985</v>
      </c>
      <c r="H208" s="20">
        <v>0.26400000000000001</v>
      </c>
      <c r="I208" s="21">
        <f t="shared" ref="I208:I210" si="50">ROUND((G208*(1+H208)),2)</f>
        <v>53.09</v>
      </c>
      <c r="J208" s="62">
        <f t="shared" ref="J208:J210" si="51">ROUND((I208*F208),2)</f>
        <v>1114.8900000000001</v>
      </c>
    </row>
    <row r="209" spans="1:11" ht="25.5" x14ac:dyDescent="0.2">
      <c r="A209" s="16" t="s">
        <v>312</v>
      </c>
      <c r="B209" s="16" t="s">
        <v>22</v>
      </c>
      <c r="C209" s="29">
        <v>87257</v>
      </c>
      <c r="D209" s="30" t="s">
        <v>313</v>
      </c>
      <c r="E209" s="29" t="s">
        <v>24</v>
      </c>
      <c r="F209" s="31">
        <f>F208</f>
        <v>21</v>
      </c>
      <c r="G209" s="19">
        <v>49.623000000000005</v>
      </c>
      <c r="H209" s="20">
        <v>0.26400000000000001</v>
      </c>
      <c r="I209" s="21">
        <f t="shared" si="50"/>
        <v>62.72</v>
      </c>
      <c r="J209" s="62">
        <f t="shared" si="51"/>
        <v>1317.12</v>
      </c>
    </row>
    <row r="210" spans="1:11" x14ac:dyDescent="0.2">
      <c r="A210" s="16" t="s">
        <v>314</v>
      </c>
      <c r="B210" s="16" t="s">
        <v>22</v>
      </c>
      <c r="C210" s="29">
        <v>104619</v>
      </c>
      <c r="D210" s="30" t="s">
        <v>315</v>
      </c>
      <c r="E210" s="29" t="s">
        <v>38</v>
      </c>
      <c r="F210" s="31">
        <f>16.56-0.9</f>
        <v>15.659999999999998</v>
      </c>
      <c r="G210" s="19">
        <v>11.271000000000001</v>
      </c>
      <c r="H210" s="20">
        <v>0.26400000000000001</v>
      </c>
      <c r="I210" s="21">
        <f t="shared" si="50"/>
        <v>14.25</v>
      </c>
      <c r="J210" s="62">
        <f t="shared" si="51"/>
        <v>223.16</v>
      </c>
    </row>
    <row r="211" spans="1:11" x14ac:dyDescent="0.2">
      <c r="A211" s="25"/>
      <c r="B211" s="25"/>
      <c r="C211" s="25"/>
      <c r="D211" s="25" t="s">
        <v>108</v>
      </c>
      <c r="E211" s="25"/>
      <c r="F211" s="25"/>
      <c r="G211" s="25"/>
      <c r="H211" s="25"/>
      <c r="I211" s="25"/>
      <c r="J211" s="61">
        <f>SUM(J208:J210)</f>
        <v>2655.17</v>
      </c>
    </row>
    <row r="212" spans="1:11" s="24" customFormat="1" x14ac:dyDescent="0.2">
      <c r="A212" s="25" t="s">
        <v>316</v>
      </c>
      <c r="B212" s="25"/>
      <c r="C212" s="25"/>
      <c r="D212" s="26" t="s">
        <v>186</v>
      </c>
      <c r="E212" s="25"/>
      <c r="F212" s="27"/>
      <c r="G212" s="28"/>
      <c r="H212" s="25"/>
      <c r="I212" s="25"/>
      <c r="J212" s="61"/>
      <c r="K212" s="23"/>
    </row>
    <row r="213" spans="1:11" x14ac:dyDescent="0.2">
      <c r="A213" s="16" t="s">
        <v>317</v>
      </c>
      <c r="B213" s="16" t="s">
        <v>22</v>
      </c>
      <c r="C213" s="29">
        <v>104757</v>
      </c>
      <c r="D213" s="30" t="s">
        <v>318</v>
      </c>
      <c r="E213" s="29" t="s">
        <v>24</v>
      </c>
      <c r="F213" s="31">
        <v>286.55399999999997</v>
      </c>
      <c r="G213" s="19">
        <v>110.08349999999999</v>
      </c>
      <c r="H213" s="20">
        <v>0.26400000000000001</v>
      </c>
      <c r="I213" s="21">
        <f t="shared" ref="I213" si="52">ROUND((G213*(1+H213)),2)</f>
        <v>139.15</v>
      </c>
      <c r="J213" s="62">
        <f t="shared" ref="J213" si="53">ROUND((I213*F213),2)</f>
        <v>39873.99</v>
      </c>
    </row>
    <row r="214" spans="1:11" x14ac:dyDescent="0.2">
      <c r="A214" s="25"/>
      <c r="B214" s="25"/>
      <c r="C214" s="25"/>
      <c r="D214" s="25" t="s">
        <v>108</v>
      </c>
      <c r="E214" s="25"/>
      <c r="F214" s="25"/>
      <c r="G214" s="25"/>
      <c r="H214" s="25"/>
      <c r="I214" s="25"/>
      <c r="J214" s="61">
        <f>SUM(J213:J213)</f>
        <v>39873.99</v>
      </c>
    </row>
    <row r="215" spans="1:11" x14ac:dyDescent="0.2">
      <c r="A215" s="25" t="s">
        <v>319</v>
      </c>
      <c r="B215" s="26"/>
      <c r="C215" s="26"/>
      <c r="D215" s="26" t="s">
        <v>320</v>
      </c>
      <c r="E215" s="25"/>
      <c r="F215" s="34"/>
      <c r="G215" s="28"/>
      <c r="H215" s="25"/>
      <c r="I215" s="25"/>
      <c r="J215" s="61"/>
    </row>
    <row r="216" spans="1:11" ht="25.5" x14ac:dyDescent="0.2">
      <c r="A216" s="16" t="s">
        <v>321</v>
      </c>
      <c r="B216" s="16" t="s">
        <v>22</v>
      </c>
      <c r="C216" s="16">
        <v>92608</v>
      </c>
      <c r="D216" s="17" t="s">
        <v>322</v>
      </c>
      <c r="E216" s="16" t="s">
        <v>62</v>
      </c>
      <c r="F216" s="18">
        <v>2</v>
      </c>
      <c r="G216" s="19">
        <v>1003.4165</v>
      </c>
      <c r="H216" s="20">
        <v>0.26400000000000001</v>
      </c>
      <c r="I216" s="21">
        <f t="shared" ref="I216:I223" si="54">ROUND((G216*(1+H216)),2)</f>
        <v>1268.32</v>
      </c>
      <c r="J216" s="62">
        <f t="shared" ref="J216:J223" si="55">ROUND((I216*F216),2)</f>
        <v>2536.64</v>
      </c>
    </row>
    <row r="217" spans="1:11" ht="25.5" x14ac:dyDescent="0.2">
      <c r="A217" s="16" t="s">
        <v>323</v>
      </c>
      <c r="B217" s="16" t="s">
        <v>22</v>
      </c>
      <c r="C217" s="16">
        <v>92620</v>
      </c>
      <c r="D217" s="17" t="s">
        <v>324</v>
      </c>
      <c r="E217" s="16" t="s">
        <v>62</v>
      </c>
      <c r="F217" s="18">
        <v>8</v>
      </c>
      <c r="G217" s="19">
        <v>1919.6315</v>
      </c>
      <c r="H217" s="20">
        <v>0.26400000000000001</v>
      </c>
      <c r="I217" s="21">
        <f t="shared" si="54"/>
        <v>2426.41</v>
      </c>
      <c r="J217" s="62">
        <f t="shared" si="55"/>
        <v>19411.28</v>
      </c>
    </row>
    <row r="218" spans="1:11" ht="25.5" x14ac:dyDescent="0.2">
      <c r="A218" s="16" t="s">
        <v>325</v>
      </c>
      <c r="B218" s="16" t="s">
        <v>22</v>
      </c>
      <c r="C218" s="16">
        <v>92580</v>
      </c>
      <c r="D218" s="17" t="s">
        <v>326</v>
      </c>
      <c r="E218" s="16" t="s">
        <v>24</v>
      </c>
      <c r="F218" s="18">
        <f>(5.91*28.35)+(5.648*22.73)</f>
        <v>295.92754000000002</v>
      </c>
      <c r="G218" s="19">
        <v>43.622</v>
      </c>
      <c r="H218" s="20">
        <v>0.26400000000000001</v>
      </c>
      <c r="I218" s="21">
        <f t="shared" si="54"/>
        <v>55.14</v>
      </c>
      <c r="J218" s="62">
        <f t="shared" si="55"/>
        <v>16317.44</v>
      </c>
    </row>
    <row r="219" spans="1:11" x14ac:dyDescent="0.2">
      <c r="A219" s="16" t="s">
        <v>327</v>
      </c>
      <c r="B219" s="16" t="s">
        <v>167</v>
      </c>
      <c r="C219" s="16">
        <v>5212552</v>
      </c>
      <c r="D219" s="17" t="s">
        <v>168</v>
      </c>
      <c r="E219" s="16" t="s">
        <v>24</v>
      </c>
      <c r="F219" s="18">
        <f>(F218*1.5)+(36*8)+(18*3)</f>
        <v>785.89130999999998</v>
      </c>
      <c r="G219" s="19">
        <v>14.025</v>
      </c>
      <c r="H219" s="20">
        <v>0.26400000000000001</v>
      </c>
      <c r="I219" s="21">
        <f t="shared" si="54"/>
        <v>17.73</v>
      </c>
      <c r="J219" s="62">
        <f t="shared" si="55"/>
        <v>13933.85</v>
      </c>
    </row>
    <row r="220" spans="1:11" x14ac:dyDescent="0.2">
      <c r="A220" s="16" t="s">
        <v>328</v>
      </c>
      <c r="B220" s="16" t="s">
        <v>22</v>
      </c>
      <c r="C220" s="16">
        <v>94216</v>
      </c>
      <c r="D220" s="17" t="s">
        <v>329</v>
      </c>
      <c r="E220" s="16" t="s">
        <v>24</v>
      </c>
      <c r="F220" s="18">
        <f>F218</f>
        <v>295.92754000000002</v>
      </c>
      <c r="G220" s="19">
        <v>163.88849999999999</v>
      </c>
      <c r="H220" s="20">
        <v>0.26400000000000001</v>
      </c>
      <c r="I220" s="21">
        <f t="shared" si="54"/>
        <v>207.16</v>
      </c>
      <c r="J220" s="62">
        <f t="shared" si="55"/>
        <v>61304.35</v>
      </c>
    </row>
    <row r="221" spans="1:11" x14ac:dyDescent="0.2">
      <c r="A221" s="16" t="s">
        <v>330</v>
      </c>
      <c r="B221" s="16" t="s">
        <v>22</v>
      </c>
      <c r="C221" s="16">
        <v>100327</v>
      </c>
      <c r="D221" s="17" t="s">
        <v>331</v>
      </c>
      <c r="E221" s="16" t="s">
        <v>38</v>
      </c>
      <c r="F221" s="18">
        <f>((5.648+5.91)*2)+5.64</f>
        <v>28.756</v>
      </c>
      <c r="G221" s="19">
        <v>46.486499999999999</v>
      </c>
      <c r="H221" s="20">
        <v>0.26400000000000001</v>
      </c>
      <c r="I221" s="21">
        <f t="shared" si="54"/>
        <v>58.76</v>
      </c>
      <c r="J221" s="62">
        <f t="shared" si="55"/>
        <v>1689.7</v>
      </c>
    </row>
    <row r="222" spans="1:11" x14ac:dyDescent="0.2">
      <c r="A222" s="16" t="s">
        <v>332</v>
      </c>
      <c r="B222" s="16" t="s">
        <v>22</v>
      </c>
      <c r="C222" s="16">
        <v>94229</v>
      </c>
      <c r="D222" s="17" t="s">
        <v>333</v>
      </c>
      <c r="E222" s="16" t="s">
        <v>38</v>
      </c>
      <c r="F222" s="18">
        <f>22.75+28.35</f>
        <v>51.1</v>
      </c>
      <c r="G222" s="19">
        <v>135.59200000000001</v>
      </c>
      <c r="H222" s="20">
        <v>0.26400000000000001</v>
      </c>
      <c r="I222" s="21">
        <f t="shared" si="54"/>
        <v>171.39</v>
      </c>
      <c r="J222" s="62">
        <f t="shared" si="55"/>
        <v>8758.0300000000007</v>
      </c>
    </row>
    <row r="223" spans="1:11" ht="25.5" x14ac:dyDescent="0.2">
      <c r="A223" s="16" t="s">
        <v>334</v>
      </c>
      <c r="B223" s="16" t="s">
        <v>91</v>
      </c>
      <c r="C223" s="16" t="str">
        <f>'[4]Composição (2)'!B270</f>
        <v>Q36</v>
      </c>
      <c r="D223" s="17" t="str">
        <f>'[4]Composição (2)'!D270</f>
        <v>ESCADA TIPO MARINHEIRO EM TUBO ACO GALVANIZADO 1 1/2" (COM PINTURA DE PROTEÇÃO), COM GUARDA-CORPO, PARA ALTURAS MAIORES QUE 3 M, FIXADA COM CHUMBADOR MECÂNICO. AF_11/2020</v>
      </c>
      <c r="E223" s="16" t="s">
        <v>38</v>
      </c>
      <c r="F223" s="18">
        <f>2.8+1.2</f>
        <v>4</v>
      </c>
      <c r="G223" s="19">
        <v>466.68300000000005</v>
      </c>
      <c r="H223" s="20">
        <v>0.26400000000000001</v>
      </c>
      <c r="I223" s="21">
        <f t="shared" si="54"/>
        <v>589.89</v>
      </c>
      <c r="J223" s="62">
        <f t="shared" si="55"/>
        <v>2359.56</v>
      </c>
    </row>
    <row r="224" spans="1:11" x14ac:dyDescent="0.2">
      <c r="A224" s="25"/>
      <c r="B224" s="25"/>
      <c r="C224" s="25"/>
      <c r="D224" s="25" t="s">
        <v>108</v>
      </c>
      <c r="E224" s="25"/>
      <c r="F224" s="25"/>
      <c r="G224" s="25"/>
      <c r="H224" s="25"/>
      <c r="I224" s="25"/>
      <c r="J224" s="61">
        <f>SUM(J216:J223)</f>
        <v>126310.84999999999</v>
      </c>
    </row>
    <row r="225" spans="1:11" x14ac:dyDescent="0.2">
      <c r="A225" s="144" t="s">
        <v>43</v>
      </c>
      <c r="B225" s="145"/>
      <c r="C225" s="145"/>
      <c r="D225" s="145"/>
      <c r="E225" s="145"/>
      <c r="F225" s="145"/>
      <c r="G225" s="145"/>
      <c r="H225" s="145"/>
      <c r="I225" s="146"/>
      <c r="J225" s="60">
        <f>SUM(J206,J211,J214,J224)</f>
        <v>246102.52999999997</v>
      </c>
    </row>
    <row r="226" spans="1:11" s="24" customFormat="1" x14ac:dyDescent="0.2">
      <c r="A226" s="12">
        <v>6</v>
      </c>
      <c r="B226" s="12"/>
      <c r="C226" s="12"/>
      <c r="D226" s="13" t="s">
        <v>335</v>
      </c>
      <c r="E226" s="12"/>
      <c r="F226" s="14"/>
      <c r="G226" s="15"/>
      <c r="H226" s="12"/>
      <c r="I226" s="12"/>
      <c r="J226" s="60"/>
      <c r="K226" s="23"/>
    </row>
    <row r="227" spans="1:11" s="24" customFormat="1" x14ac:dyDescent="0.2">
      <c r="A227" s="25" t="s">
        <v>336</v>
      </c>
      <c r="B227" s="25"/>
      <c r="C227" s="25"/>
      <c r="D227" s="26" t="s">
        <v>144</v>
      </c>
      <c r="E227" s="25"/>
      <c r="F227" s="27"/>
      <c r="G227" s="28"/>
      <c r="H227" s="25"/>
      <c r="I227" s="25"/>
      <c r="J227" s="61"/>
      <c r="K227" s="23"/>
    </row>
    <row r="228" spans="1:11" ht="39.75" customHeight="1" x14ac:dyDescent="0.2">
      <c r="A228" s="16" t="s">
        <v>337</v>
      </c>
      <c r="B228" s="16" t="s">
        <v>22</v>
      </c>
      <c r="C228" s="16">
        <v>103360</v>
      </c>
      <c r="D228" s="17" t="s">
        <v>338</v>
      </c>
      <c r="E228" s="16" t="s">
        <v>24</v>
      </c>
      <c r="F228" s="18">
        <f>(((9.69+4.65+7+2.15+1.8+3.05+2.15+3.2+0.95+3.35+4.7+2.15+7+7+4.65+9.69)*3.3)+((15.75)*1.34)+(1.42*2)+((27.94+1.62+1.62+3.4+3.4+4.6+0.9+0.9+3.97+0.75+5+1.62+1.62+3.4+3.4+18)*3.3)+(15.75*1.1))-((0.84*6)+(3.5*2)+(2.07+3.25+1.89+3.5)+(1.89*4)+(6*2)+(1.89*8)+(3.15*2))+(((2.54*2.45)+(1.15*1.6))*2)</f>
        <v>506.22199999999998</v>
      </c>
      <c r="G228" s="19">
        <v>83.350999999999999</v>
      </c>
      <c r="H228" s="20">
        <v>0.26400000000000001</v>
      </c>
      <c r="I228" s="21">
        <f>ROUND((G228*(1+H228)),2)</f>
        <v>105.36</v>
      </c>
      <c r="J228" s="62">
        <f>ROUND((I228*F228),2)</f>
        <v>53335.55</v>
      </c>
    </row>
    <row r="229" spans="1:11" x14ac:dyDescent="0.2">
      <c r="A229" s="16" t="s">
        <v>339</v>
      </c>
      <c r="B229" s="16" t="s">
        <v>22</v>
      </c>
      <c r="C229" s="16">
        <v>105023</v>
      </c>
      <c r="D229" s="17" t="s">
        <v>149</v>
      </c>
      <c r="E229" s="16" t="s">
        <v>38</v>
      </c>
      <c r="F229" s="18">
        <f>((1.2*6)+(5*2)+(0.9+1.3+0.9+1.4)+(0.9*4)+(2*2)+(0.9*8)+(1.5*2))*1.2</f>
        <v>47.4</v>
      </c>
      <c r="G229" s="19">
        <v>75.021000000000001</v>
      </c>
      <c r="H229" s="20">
        <v>0.26400000000000001</v>
      </c>
      <c r="I229" s="21">
        <f t="shared" ref="I229:I235" si="56">ROUND((G229*(1+H229)),2)</f>
        <v>94.83</v>
      </c>
      <c r="J229" s="62">
        <f t="shared" ref="J229:J235" si="57">ROUND((I229*F229),2)</f>
        <v>4494.9399999999996</v>
      </c>
    </row>
    <row r="230" spans="1:11" x14ac:dyDescent="0.2">
      <c r="A230" s="16" t="s">
        <v>340</v>
      </c>
      <c r="B230" s="16" t="s">
        <v>22</v>
      </c>
      <c r="C230" s="16">
        <v>105029</v>
      </c>
      <c r="D230" s="17" t="s">
        <v>151</v>
      </c>
      <c r="E230" s="16" t="s">
        <v>38</v>
      </c>
      <c r="F230" s="18">
        <f>((1.2*6)+(5*2)+(0.9*1))*1.2</f>
        <v>21.719999999999995</v>
      </c>
      <c r="G230" s="19">
        <v>56.499499999999998</v>
      </c>
      <c r="H230" s="20">
        <v>0.26400000000000001</v>
      </c>
      <c r="I230" s="21">
        <f t="shared" si="56"/>
        <v>71.42</v>
      </c>
      <c r="J230" s="62">
        <f t="shared" si="57"/>
        <v>1551.24</v>
      </c>
    </row>
    <row r="231" spans="1:11" ht="25.5" x14ac:dyDescent="0.2">
      <c r="A231" s="16" t="s">
        <v>341</v>
      </c>
      <c r="B231" s="16" t="s">
        <v>22</v>
      </c>
      <c r="C231" s="16">
        <v>87905</v>
      </c>
      <c r="D231" s="17" t="s">
        <v>153</v>
      </c>
      <c r="E231" s="16" t="s">
        <v>24</v>
      </c>
      <c r="F231" s="18">
        <f>(F228*2)+(((9.69+4.65+7+2.15+1.8+3.05+2.15+3.2+0.95+4.7+2.15+7+7+4.65+9.69+27.94+1.62+1.62+3.4+3.4+4.6+0.9+0.9+3.97+0.75+5+1.62+1.62+3.4+3.4+21.14)*0.4)*2)</f>
        <v>1136.5319999999999</v>
      </c>
      <c r="G231" s="19">
        <v>8.2705000000000002</v>
      </c>
      <c r="H231" s="20">
        <v>0.26400000000000001</v>
      </c>
      <c r="I231" s="21">
        <f t="shared" si="56"/>
        <v>10.45</v>
      </c>
      <c r="J231" s="62">
        <f t="shared" si="57"/>
        <v>11876.76</v>
      </c>
    </row>
    <row r="232" spans="1:11" ht="25.5" x14ac:dyDescent="0.2">
      <c r="A232" s="16" t="s">
        <v>342</v>
      </c>
      <c r="B232" s="16" t="s">
        <v>22</v>
      </c>
      <c r="C232" s="16">
        <v>87775</v>
      </c>
      <c r="D232" s="17" t="s">
        <v>155</v>
      </c>
      <c r="E232" s="16" t="s">
        <v>24</v>
      </c>
      <c r="F232" s="18">
        <f>F231</f>
        <v>1136.5319999999999</v>
      </c>
      <c r="G232" s="19">
        <v>54.06</v>
      </c>
      <c r="H232" s="20">
        <v>0.26400000000000001</v>
      </c>
      <c r="I232" s="21">
        <f t="shared" si="56"/>
        <v>68.33</v>
      </c>
      <c r="J232" s="62">
        <f t="shared" si="57"/>
        <v>77659.23</v>
      </c>
    </row>
    <row r="233" spans="1:11" ht="25.5" x14ac:dyDescent="0.2">
      <c r="A233" s="16" t="s">
        <v>343</v>
      </c>
      <c r="B233" s="16" t="s">
        <v>22</v>
      </c>
      <c r="C233" s="16">
        <v>88413</v>
      </c>
      <c r="D233" s="17" t="s">
        <v>260</v>
      </c>
      <c r="E233" s="16" t="s">
        <v>24</v>
      </c>
      <c r="F233" s="18">
        <f>F231-(F236+F237)</f>
        <v>878.34799999999996</v>
      </c>
      <c r="G233" s="19">
        <v>4.9130000000000003</v>
      </c>
      <c r="H233" s="20">
        <v>0.26400000000000001</v>
      </c>
      <c r="I233" s="21">
        <f t="shared" si="56"/>
        <v>6.21</v>
      </c>
      <c r="J233" s="62">
        <f t="shared" si="57"/>
        <v>5454.54</v>
      </c>
    </row>
    <row r="234" spans="1:11" x14ac:dyDescent="0.2">
      <c r="A234" s="16" t="s">
        <v>344</v>
      </c>
      <c r="B234" s="16" t="s">
        <v>22</v>
      </c>
      <c r="C234" s="16">
        <v>88497</v>
      </c>
      <c r="D234" s="17" t="s">
        <v>159</v>
      </c>
      <c r="E234" s="16" t="s">
        <v>24</v>
      </c>
      <c r="F234" s="18">
        <f>F233</f>
        <v>878.34799999999996</v>
      </c>
      <c r="G234" s="19">
        <v>17.926500000000001</v>
      </c>
      <c r="H234" s="20">
        <v>0.26400000000000001</v>
      </c>
      <c r="I234" s="21">
        <f t="shared" si="56"/>
        <v>22.66</v>
      </c>
      <c r="J234" s="62">
        <f t="shared" si="57"/>
        <v>19903.37</v>
      </c>
    </row>
    <row r="235" spans="1:11" ht="25.5" x14ac:dyDescent="0.2">
      <c r="A235" s="16" t="s">
        <v>345</v>
      </c>
      <c r="B235" s="16" t="s">
        <v>22</v>
      </c>
      <c r="C235" s="16">
        <v>88424</v>
      </c>
      <c r="D235" s="17" t="s">
        <v>161</v>
      </c>
      <c r="E235" s="16" t="s">
        <v>24</v>
      </c>
      <c r="F235" s="18">
        <f>F233</f>
        <v>878.34799999999996</v>
      </c>
      <c r="G235" s="19">
        <v>21.547499999999999</v>
      </c>
      <c r="H235" s="20">
        <v>0.26400000000000001</v>
      </c>
      <c r="I235" s="21">
        <f t="shared" si="56"/>
        <v>27.24</v>
      </c>
      <c r="J235" s="62">
        <f t="shared" si="57"/>
        <v>23926.2</v>
      </c>
    </row>
    <row r="236" spans="1:11" ht="25.5" x14ac:dyDescent="0.2">
      <c r="A236" s="16" t="s">
        <v>346</v>
      </c>
      <c r="B236" s="16" t="s">
        <v>22</v>
      </c>
      <c r="C236" s="16">
        <v>104612</v>
      </c>
      <c r="D236" s="17" t="s">
        <v>347</v>
      </c>
      <c r="E236" s="16" t="s">
        <v>24</v>
      </c>
      <c r="F236" s="18">
        <f>(((7.55+7.55+18.67+7.55+7.55+34.27+34.12)-((0.9*8)+0.8))*1.8)+((4.6*2.1)+(5.52*2.1))</f>
        <v>217.92</v>
      </c>
      <c r="G236" s="19">
        <v>77.24799999999999</v>
      </c>
      <c r="H236" s="20">
        <v>0.26400000000000001</v>
      </c>
      <c r="I236" s="21">
        <f>ROUND((G236*(1+H236)),2)</f>
        <v>97.64</v>
      </c>
      <c r="J236" s="62">
        <f>ROUND((I236*F236),2)</f>
        <v>21277.71</v>
      </c>
    </row>
    <row r="237" spans="1:11" ht="25.5" x14ac:dyDescent="0.2">
      <c r="A237" s="16" t="s">
        <v>348</v>
      </c>
      <c r="B237" s="16" t="s">
        <v>22</v>
      </c>
      <c r="C237" s="16">
        <v>104611</v>
      </c>
      <c r="D237" s="17" t="s">
        <v>349</v>
      </c>
      <c r="E237" s="16" t="s">
        <v>24</v>
      </c>
      <c r="F237" s="18">
        <f>((14.14*3.1)-((0.84*2)+1.89))</f>
        <v>40.264000000000003</v>
      </c>
      <c r="G237" s="19">
        <v>76.42349999999999</v>
      </c>
      <c r="H237" s="20">
        <v>0.26400000000000001</v>
      </c>
      <c r="I237" s="21">
        <f>ROUND((G237*(1+H237)),2)</f>
        <v>96.6</v>
      </c>
      <c r="J237" s="62">
        <f>ROUND((I237*F237),2)</f>
        <v>3889.5</v>
      </c>
    </row>
    <row r="238" spans="1:11" ht="25.5" x14ac:dyDescent="0.2">
      <c r="A238" s="16" t="s">
        <v>350</v>
      </c>
      <c r="B238" s="16" t="s">
        <v>91</v>
      </c>
      <c r="C238" s="29" t="str">
        <f>'[4]Composição (2)'!B174</f>
        <v>Q25</v>
      </c>
      <c r="D238" s="30" t="str">
        <f>'[4]Composição (2)'!D174</f>
        <v>CORRIMÃO DUPLO FIXADO EM PAREDE OU ESTRUTURA METÁLICA, DIÂMETRO EXTERNO = 1 1/2", EM AÇO GALVANIZADO (COM PINTURA DE PROTEÇÃO). AF_10/2025</v>
      </c>
      <c r="E238" s="29" t="s">
        <v>38</v>
      </c>
      <c r="F238" s="18">
        <f>10.3+2.7+2.7+6.15</f>
        <v>21.85</v>
      </c>
      <c r="G238" s="19">
        <v>145.6985</v>
      </c>
      <c r="H238" s="20">
        <v>0.26400000000000001</v>
      </c>
      <c r="I238" s="21">
        <f>ROUND((G238*(1+H238)),2)</f>
        <v>184.16</v>
      </c>
      <c r="J238" s="62">
        <f>ROUND((I238*F238),2)</f>
        <v>4023.9</v>
      </c>
    </row>
    <row r="239" spans="1:11" ht="38.25" x14ac:dyDescent="0.2">
      <c r="A239" s="16" t="s">
        <v>351</v>
      </c>
      <c r="B239" s="16" t="s">
        <v>22</v>
      </c>
      <c r="C239" s="29">
        <v>99842</v>
      </c>
      <c r="D239" s="30" t="s">
        <v>352</v>
      </c>
      <c r="E239" s="29" t="s">
        <v>38</v>
      </c>
      <c r="F239" s="18">
        <f>6.15+2.1+15.75+4</f>
        <v>28</v>
      </c>
      <c r="G239" s="19">
        <v>407.34399999999999</v>
      </c>
      <c r="H239" s="20">
        <v>0.26400000000000001</v>
      </c>
      <c r="I239" s="21">
        <f>ROUND((G239*(1+H239)),2)</f>
        <v>514.88</v>
      </c>
      <c r="J239" s="62">
        <f>ROUND((I239*F239),2)</f>
        <v>14416.64</v>
      </c>
    </row>
    <row r="240" spans="1:11" ht="25.5" x14ac:dyDescent="0.2">
      <c r="A240" s="16" t="s">
        <v>351</v>
      </c>
      <c r="B240" s="16" t="s">
        <v>91</v>
      </c>
      <c r="C240" s="29" t="str">
        <f>'[4]Composição (2)'!B200</f>
        <v>Q29</v>
      </c>
      <c r="D240" s="30" t="str">
        <f>'[4]Composição (2)'!D200</f>
        <v>GUARDA-CORPO PANORÂMICO DE 0,50M, MONTANTES EM ALUMÍNIO DE 90X45 MM ESPAÇADOS DE 1,20M, VIDRO LAMINADO 8 MM, FIXADO COM ADESIVO ESTRUTURAL EPOXI. AF_10/2025</v>
      </c>
      <c r="E240" s="29" t="s">
        <v>38</v>
      </c>
      <c r="F240" s="18">
        <f>3.65+1.3+1.3+2.45</f>
        <v>8.6999999999999993</v>
      </c>
      <c r="G240" s="19">
        <v>409.67</v>
      </c>
      <c r="H240" s="20">
        <v>0.26400000000000001</v>
      </c>
      <c r="I240" s="21">
        <f>ROUND((G240*(1+H240)),2)</f>
        <v>517.82000000000005</v>
      </c>
      <c r="J240" s="62">
        <f>ROUND((I240*F240),2)</f>
        <v>4505.03</v>
      </c>
    </row>
    <row r="241" spans="1:10" x14ac:dyDescent="0.2">
      <c r="A241" s="25"/>
      <c r="B241" s="25"/>
      <c r="C241" s="25"/>
      <c r="D241" s="25" t="s">
        <v>108</v>
      </c>
      <c r="E241" s="25"/>
      <c r="F241" s="25"/>
      <c r="G241" s="25"/>
      <c r="H241" s="25"/>
      <c r="I241" s="25"/>
      <c r="J241" s="61">
        <f>SUM(J228:J239)</f>
        <v>241809.58000000002</v>
      </c>
    </row>
    <row r="242" spans="1:10" x14ac:dyDescent="0.2">
      <c r="A242" s="25" t="s">
        <v>353</v>
      </c>
      <c r="B242" s="26"/>
      <c r="C242" s="26"/>
      <c r="D242" s="26" t="s">
        <v>354</v>
      </c>
      <c r="E242" s="25"/>
      <c r="F242" s="34"/>
      <c r="G242" s="28"/>
      <c r="H242" s="25"/>
      <c r="I242" s="25"/>
      <c r="J242" s="61"/>
    </row>
    <row r="243" spans="1:10" ht="38.25" x14ac:dyDescent="0.2">
      <c r="A243" s="16" t="s">
        <v>355</v>
      </c>
      <c r="B243" s="16" t="s">
        <v>22</v>
      </c>
      <c r="C243" s="16">
        <v>101207</v>
      </c>
      <c r="D243" s="17" t="s">
        <v>356</v>
      </c>
      <c r="E243" s="16" t="s">
        <v>51</v>
      </c>
      <c r="F243" s="18">
        <f>10.848*1.6</f>
        <v>17.356800000000003</v>
      </c>
      <c r="G243" s="19">
        <v>9.9450000000000003</v>
      </c>
      <c r="H243" s="20">
        <v>0.26400000000000001</v>
      </c>
      <c r="I243" s="21">
        <v>14.79</v>
      </c>
      <c r="J243" s="62">
        <f>ROUND((I243*F243),2)</f>
        <v>256.70999999999998</v>
      </c>
    </row>
    <row r="244" spans="1:10" x14ac:dyDescent="0.2">
      <c r="A244" s="16" t="s">
        <v>357</v>
      </c>
      <c r="B244" s="16" t="s">
        <v>22</v>
      </c>
      <c r="C244" s="16">
        <v>96622</v>
      </c>
      <c r="D244" s="17" t="s">
        <v>358</v>
      </c>
      <c r="E244" s="16" t="s">
        <v>51</v>
      </c>
      <c r="F244" s="18">
        <f>10.848*0.05</f>
        <v>0.5424000000000001</v>
      </c>
      <c r="G244" s="19">
        <v>204.4845</v>
      </c>
      <c r="H244" s="20">
        <v>0.26400000000000001</v>
      </c>
      <c r="I244" s="21">
        <v>304.08</v>
      </c>
      <c r="J244" s="62">
        <f t="shared" ref="J244:J252" si="58">ROUND((I244*F244),2)</f>
        <v>164.93</v>
      </c>
    </row>
    <row r="245" spans="1:10" x14ac:dyDescent="0.2">
      <c r="A245" s="16" t="s">
        <v>359</v>
      </c>
      <c r="B245" s="16" t="s">
        <v>22</v>
      </c>
      <c r="C245" s="29">
        <v>104918</v>
      </c>
      <c r="D245" s="30" t="s">
        <v>360</v>
      </c>
      <c r="E245" s="29" t="s">
        <v>361</v>
      </c>
      <c r="F245" s="18">
        <f>0.395*(((7*0.82)+(6*1.07))*6)</f>
        <v>28.819200000000006</v>
      </c>
      <c r="G245" s="19">
        <v>12.324999999999999</v>
      </c>
      <c r="H245" s="20">
        <v>0.26400000000000001</v>
      </c>
      <c r="I245" s="21">
        <f t="shared" ref="I245:I252" si="59">ROUND((G245*(1+H245)),2)</f>
        <v>15.58</v>
      </c>
      <c r="J245" s="62">
        <f t="shared" si="58"/>
        <v>449</v>
      </c>
    </row>
    <row r="246" spans="1:10" ht="25.5" x14ac:dyDescent="0.2">
      <c r="A246" s="16" t="s">
        <v>362</v>
      </c>
      <c r="B246" s="16" t="s">
        <v>22</v>
      </c>
      <c r="C246" s="29">
        <v>96530</v>
      </c>
      <c r="D246" s="30" t="s">
        <v>363</v>
      </c>
      <c r="E246" s="29" t="s">
        <v>24</v>
      </c>
      <c r="F246" s="18">
        <f>(((0.25*0.6)*2)+((0.25*0.85)*2))*6</f>
        <v>4.3499999999999996</v>
      </c>
      <c r="G246" s="19">
        <v>124.2615</v>
      </c>
      <c r="H246" s="20">
        <v>0.26400000000000001</v>
      </c>
      <c r="I246" s="21">
        <f>ROUND((G246*(1+H246)),2)</f>
        <v>157.07</v>
      </c>
      <c r="J246" s="62">
        <f t="shared" si="58"/>
        <v>683.25</v>
      </c>
    </row>
    <row r="247" spans="1:10" x14ac:dyDescent="0.2">
      <c r="A247" s="16" t="s">
        <v>364</v>
      </c>
      <c r="B247" s="16" t="s">
        <v>22</v>
      </c>
      <c r="C247" s="29">
        <v>96558</v>
      </c>
      <c r="D247" s="30" t="s">
        <v>365</v>
      </c>
      <c r="E247" s="29" t="s">
        <v>51</v>
      </c>
      <c r="F247" s="18">
        <f>((0.85*0.6)*0.25)*6</f>
        <v>0.76500000000000001</v>
      </c>
      <c r="G247" s="19">
        <v>736.83100000000002</v>
      </c>
      <c r="H247" s="20">
        <v>0.26400000000000001</v>
      </c>
      <c r="I247" s="21">
        <f>ROUND((G247*(1+H247)),2)</f>
        <v>931.35</v>
      </c>
      <c r="J247" s="62">
        <f>ROUND((I247*F247),2)</f>
        <v>712.48</v>
      </c>
    </row>
    <row r="248" spans="1:10" ht="25.5" x14ac:dyDescent="0.2">
      <c r="A248" s="16" t="s">
        <v>366</v>
      </c>
      <c r="B248" s="16" t="s">
        <v>22</v>
      </c>
      <c r="C248" s="29">
        <v>92759</v>
      </c>
      <c r="D248" s="30" t="s">
        <v>367</v>
      </c>
      <c r="E248" s="29" t="s">
        <v>361</v>
      </c>
      <c r="F248" s="18">
        <f>0.154*(((14*0.9)*6)+((13*0.9)*6))</f>
        <v>22.453200000000002</v>
      </c>
      <c r="G248" s="19">
        <v>12.427</v>
      </c>
      <c r="H248" s="20">
        <v>0.26400000000000001</v>
      </c>
      <c r="I248" s="21">
        <f>ROUND((G248*(1+H248)),2)</f>
        <v>15.71</v>
      </c>
      <c r="J248" s="62">
        <f>ROUND((I248*F248),2)</f>
        <v>352.74</v>
      </c>
    </row>
    <row r="249" spans="1:10" ht="25.5" x14ac:dyDescent="0.2">
      <c r="A249" s="16" t="s">
        <v>368</v>
      </c>
      <c r="B249" s="16" t="s">
        <v>22</v>
      </c>
      <c r="C249" s="29">
        <v>92761</v>
      </c>
      <c r="D249" s="30" t="s">
        <v>369</v>
      </c>
      <c r="E249" s="29" t="s">
        <v>361</v>
      </c>
      <c r="F249" s="18">
        <f>0.395*(((2*3.04)*6)+((2*2.76)*6))</f>
        <v>27.491999999999997</v>
      </c>
      <c r="G249" s="19">
        <v>10.378500000000001</v>
      </c>
      <c r="H249" s="20">
        <v>0.26400000000000001</v>
      </c>
      <c r="I249" s="21">
        <f t="shared" ref="I249" si="60">ROUND((G249*(1+H249)),2)</f>
        <v>13.12</v>
      </c>
      <c r="J249" s="62">
        <f>ROUND((I249*F249),2)</f>
        <v>360.7</v>
      </c>
    </row>
    <row r="250" spans="1:10" ht="25.5" x14ac:dyDescent="0.2">
      <c r="A250" s="16" t="s">
        <v>370</v>
      </c>
      <c r="B250" s="16" t="s">
        <v>22</v>
      </c>
      <c r="C250" s="29">
        <v>92762</v>
      </c>
      <c r="D250" s="30" t="s">
        <v>371</v>
      </c>
      <c r="E250" s="29" t="s">
        <v>361</v>
      </c>
      <c r="F250" s="18">
        <f>0.617*((4*1.54)*6)</f>
        <v>22.804320000000001</v>
      </c>
      <c r="G250" s="19">
        <v>9.1374999999999993</v>
      </c>
      <c r="H250" s="20">
        <v>0.26400000000000001</v>
      </c>
      <c r="I250" s="21">
        <f>ROUND((G250*(1+H250)),2)</f>
        <v>11.55</v>
      </c>
      <c r="J250" s="62">
        <f>ROUND((I250*F250),2)</f>
        <v>263.39</v>
      </c>
    </row>
    <row r="251" spans="1:10" ht="25.5" x14ac:dyDescent="0.2">
      <c r="A251" s="16" t="s">
        <v>372</v>
      </c>
      <c r="B251" s="16" t="s">
        <v>22</v>
      </c>
      <c r="C251" s="29">
        <v>92415</v>
      </c>
      <c r="D251" s="30" t="s">
        <v>373</v>
      </c>
      <c r="E251" s="29" t="s">
        <v>24</v>
      </c>
      <c r="F251" s="18">
        <f>((((0.15*1.34)*2)+((0.4*1.34)*2))*6)+((((0.15*2.6)*2)+((0.4*2.6)*2))*6)</f>
        <v>26.004000000000005</v>
      </c>
      <c r="G251" s="19">
        <v>148.036</v>
      </c>
      <c r="H251" s="20">
        <v>0.26400000000000001</v>
      </c>
      <c r="I251" s="21">
        <f>ROUND((G251*(1+H251)),2)</f>
        <v>187.12</v>
      </c>
      <c r="J251" s="62">
        <f t="shared" si="58"/>
        <v>4865.87</v>
      </c>
    </row>
    <row r="252" spans="1:10" x14ac:dyDescent="0.2">
      <c r="A252" s="16" t="s">
        <v>374</v>
      </c>
      <c r="B252" s="32" t="s">
        <v>22</v>
      </c>
      <c r="C252" s="32">
        <v>103672</v>
      </c>
      <c r="D252" s="33" t="s">
        <v>375</v>
      </c>
      <c r="E252" s="32" t="s">
        <v>51</v>
      </c>
      <c r="F252" s="18">
        <f>((((0.15*0.4)*1.34)*6)+(((0.15*0.4)*2.6)*6))</f>
        <v>1.4183999999999999</v>
      </c>
      <c r="G252" s="19">
        <v>637.22799999999995</v>
      </c>
      <c r="H252" s="35">
        <v>0.26400000000000001</v>
      </c>
      <c r="I252" s="36">
        <f t="shared" si="59"/>
        <v>805.46</v>
      </c>
      <c r="J252" s="62">
        <f t="shared" si="58"/>
        <v>1142.46</v>
      </c>
    </row>
    <row r="253" spans="1:10" x14ac:dyDescent="0.2">
      <c r="A253" s="25"/>
      <c r="B253" s="25"/>
      <c r="C253" s="25"/>
      <c r="D253" s="25" t="s">
        <v>108</v>
      </c>
      <c r="E253" s="25"/>
      <c r="F253" s="25"/>
      <c r="G253" s="25"/>
      <c r="H253" s="25"/>
      <c r="I253" s="25"/>
      <c r="J253" s="61">
        <f>SUM(J243:J252)</f>
        <v>9251.5299999999988</v>
      </c>
    </row>
    <row r="254" spans="1:10" x14ac:dyDescent="0.2">
      <c r="A254" s="25" t="s">
        <v>376</v>
      </c>
      <c r="B254" s="26"/>
      <c r="C254" s="26"/>
      <c r="D254" s="26" t="s">
        <v>176</v>
      </c>
      <c r="E254" s="25"/>
      <c r="F254" s="34"/>
      <c r="G254" s="28"/>
      <c r="H254" s="25"/>
      <c r="I254" s="25"/>
      <c r="J254" s="61"/>
    </row>
    <row r="255" spans="1:10" ht="25.5" x14ac:dyDescent="0.2">
      <c r="A255" s="16" t="s">
        <v>377</v>
      </c>
      <c r="B255" s="16" t="s">
        <v>91</v>
      </c>
      <c r="C255" s="16" t="str">
        <f>'[4]Composição (2)'!B100</f>
        <v>Q14</v>
      </c>
      <c r="D255" s="17" t="str">
        <f>'[4]Composição (2)'!D100</f>
        <v>PAREDE COM SISTEMA EM CHAPAS DE GESSO RU (ÁREA MOLHADA) PARA DRYWALL, USO INTERNO, COM DUAS FACES SIMPLES E ESTRUTURA METÁLICA COM GUIAS SIMPLES PARA PAREDES COM ÁREA LÍQUIDA MAIOR OU IGUAL A 6 M2.</v>
      </c>
      <c r="E255" s="16" t="s">
        <v>24</v>
      </c>
      <c r="F255" s="18">
        <f>((0.4+0.15)*3.1)+((0.4+0.15)*4.4)</f>
        <v>4.1250000000000009</v>
      </c>
      <c r="G255" s="19">
        <v>226.01499999999999</v>
      </c>
      <c r="H255" s="20">
        <v>0.26400000000000001</v>
      </c>
      <c r="I255" s="21">
        <f>ROUND((G255*(1+H255)),2)</f>
        <v>285.68</v>
      </c>
      <c r="J255" s="62">
        <f>ROUND((I255*F255),2)</f>
        <v>1178.43</v>
      </c>
    </row>
    <row r="256" spans="1:10" ht="25.5" x14ac:dyDescent="0.2">
      <c r="A256" s="16" t="s">
        <v>378</v>
      </c>
      <c r="B256" s="16" t="s">
        <v>22</v>
      </c>
      <c r="C256" s="16">
        <v>104719</v>
      </c>
      <c r="D256" s="17" t="s">
        <v>180</v>
      </c>
      <c r="E256" s="16" t="s">
        <v>24</v>
      </c>
      <c r="F256" s="18">
        <v>0</v>
      </c>
      <c r="G256" s="19">
        <v>164.48349999999999</v>
      </c>
      <c r="H256" s="20">
        <v>0.26400000000000001</v>
      </c>
      <c r="I256" s="21">
        <f>ROUND((G256*(1+H256)),2)</f>
        <v>207.91</v>
      </c>
      <c r="J256" s="62">
        <f>ROUND((I256*F256),2)</f>
        <v>0</v>
      </c>
    </row>
    <row r="257" spans="1:11" x14ac:dyDescent="0.2">
      <c r="A257" s="16" t="s">
        <v>379</v>
      </c>
      <c r="B257" s="16" t="s">
        <v>22</v>
      </c>
      <c r="C257" s="16">
        <v>88495</v>
      </c>
      <c r="D257" s="17" t="s">
        <v>182</v>
      </c>
      <c r="E257" s="16" t="s">
        <v>24</v>
      </c>
      <c r="F257" s="18">
        <f>F255</f>
        <v>4.1250000000000009</v>
      </c>
      <c r="G257" s="19">
        <v>11.5685</v>
      </c>
      <c r="H257" s="20">
        <v>0.26400000000000001</v>
      </c>
      <c r="I257" s="21">
        <f>ROUND((G257*(1+H257)),2)</f>
        <v>14.62</v>
      </c>
      <c r="J257" s="62">
        <f>ROUND((I257*F257),2)</f>
        <v>60.31</v>
      </c>
    </row>
    <row r="258" spans="1:11" x14ac:dyDescent="0.2">
      <c r="A258" s="16" t="s">
        <v>380</v>
      </c>
      <c r="B258" s="16" t="s">
        <v>22</v>
      </c>
      <c r="C258" s="16">
        <v>102253</v>
      </c>
      <c r="D258" s="17" t="s">
        <v>184</v>
      </c>
      <c r="E258" s="16" t="s">
        <v>24</v>
      </c>
      <c r="F258" s="18">
        <f>(((1.25*10)+(1.4*11))*2.1)+(((4.6+4.85+5.5+5.52)-(0.8*22))*2.1)+((0.45*1.2)*2)</f>
        <v>65.696999999999989</v>
      </c>
      <c r="G258" s="19">
        <v>868.70849999999996</v>
      </c>
      <c r="H258" s="20">
        <v>0.26400000000000001</v>
      </c>
      <c r="I258" s="21">
        <f>ROUND((G258*(1+H258)),2)</f>
        <v>1098.05</v>
      </c>
      <c r="J258" s="62">
        <f>ROUND((I258*F258),2)</f>
        <v>72138.59</v>
      </c>
    </row>
    <row r="259" spans="1:11" x14ac:dyDescent="0.2">
      <c r="A259" s="25"/>
      <c r="B259" s="25"/>
      <c r="C259" s="25"/>
      <c r="D259" s="25" t="s">
        <v>108</v>
      </c>
      <c r="E259" s="25"/>
      <c r="F259" s="25"/>
      <c r="G259" s="25"/>
      <c r="H259" s="25"/>
      <c r="I259" s="25"/>
      <c r="J259" s="61">
        <f>SUM(J255:J258)</f>
        <v>73377.33</v>
      </c>
    </row>
    <row r="260" spans="1:11" s="24" customFormat="1" x14ac:dyDescent="0.2">
      <c r="A260" s="25" t="s">
        <v>381</v>
      </c>
      <c r="B260" s="25"/>
      <c r="C260" s="25"/>
      <c r="D260" s="26" t="s">
        <v>186</v>
      </c>
      <c r="E260" s="25"/>
      <c r="F260" s="27"/>
      <c r="G260" s="28"/>
      <c r="H260" s="25"/>
      <c r="I260" s="25"/>
      <c r="J260" s="61"/>
      <c r="K260" s="23"/>
    </row>
    <row r="261" spans="1:11" ht="25.5" x14ac:dyDescent="0.2">
      <c r="A261" s="16" t="s">
        <v>382</v>
      </c>
      <c r="B261" s="16" t="s">
        <v>22</v>
      </c>
      <c r="C261" s="29">
        <v>96485</v>
      </c>
      <c r="D261" s="30" t="s">
        <v>383</v>
      </c>
      <c r="E261" s="29" t="s">
        <v>24</v>
      </c>
      <c r="F261" s="31">
        <v>172.27500000000001</v>
      </c>
      <c r="G261" s="19">
        <v>63.928499999999993</v>
      </c>
      <c r="H261" s="20">
        <v>0.26400000000000001</v>
      </c>
      <c r="I261" s="21">
        <f t="shared" ref="I261:I262" si="61">ROUND((G261*(1+H261)),2)</f>
        <v>80.81</v>
      </c>
      <c r="J261" s="62">
        <f t="shared" ref="J261:J262" si="62">ROUND((I261*F261),2)</f>
        <v>13921.54</v>
      </c>
    </row>
    <row r="262" spans="1:11" x14ac:dyDescent="0.2">
      <c r="A262" s="16" t="s">
        <v>189</v>
      </c>
      <c r="B262" s="16" t="s">
        <v>173</v>
      </c>
      <c r="C262" s="29">
        <v>17</v>
      </c>
      <c r="D262" s="30" t="str">
        <f>[4]Cotação!C146</f>
        <v>KIT VENTO EXAUSTOR DE BANHEIRO 5MT 100MM, INCLUSO TUBO DE PASSAGEM - FORNECIMENTO E INSTALAÇÃO</v>
      </c>
      <c r="E262" s="29" t="s">
        <v>174</v>
      </c>
      <c r="F262" s="31">
        <v>8</v>
      </c>
      <c r="G262" s="19">
        <v>212.5</v>
      </c>
      <c r="H262" s="20">
        <v>0.26400000000000001</v>
      </c>
      <c r="I262" s="21">
        <f t="shared" si="61"/>
        <v>268.60000000000002</v>
      </c>
      <c r="J262" s="62">
        <f t="shared" si="62"/>
        <v>2148.8000000000002</v>
      </c>
    </row>
    <row r="263" spans="1:11" x14ac:dyDescent="0.2">
      <c r="A263" s="25"/>
      <c r="B263" s="25"/>
      <c r="C263" s="25"/>
      <c r="D263" s="25" t="s">
        <v>108</v>
      </c>
      <c r="E263" s="25"/>
      <c r="F263" s="25"/>
      <c r="G263" s="25"/>
      <c r="H263" s="25"/>
      <c r="I263" s="25"/>
      <c r="J263" s="61">
        <f>SUM(J261:J262)</f>
        <v>16070.34</v>
      </c>
    </row>
    <row r="264" spans="1:11" s="24" customFormat="1" x14ac:dyDescent="0.2">
      <c r="A264" s="25" t="s">
        <v>384</v>
      </c>
      <c r="B264" s="25"/>
      <c r="C264" s="25"/>
      <c r="D264" s="26" t="s">
        <v>195</v>
      </c>
      <c r="E264" s="25"/>
      <c r="F264" s="27"/>
      <c r="G264" s="28"/>
      <c r="H264" s="25"/>
      <c r="I264" s="25"/>
      <c r="J264" s="61"/>
      <c r="K264" s="23"/>
    </row>
    <row r="265" spans="1:11" ht="38.25" x14ac:dyDescent="0.2">
      <c r="A265" s="16" t="s">
        <v>385</v>
      </c>
      <c r="B265" s="16" t="s">
        <v>91</v>
      </c>
      <c r="C265" s="16" t="str">
        <f>'[4]Composição (2)'!B45</f>
        <v>Q05</v>
      </c>
      <c r="D265" s="17" t="str">
        <f>'[4]Composição (2)'!D45</f>
        <v>JANELA DE ALUMÍNIO TIPO MAXIM-AR/BASCULANTE, CONFORME DETALHAMENTOS, COM VIDROS, BATENTE E FERRAGENS, COM PUXADOR DE CORRENTE, INCLUSIVE ALIZAR, ACABAMENTO E CONTRAMARCO, FIXAÇÃO COM PARAFUSO. FORNECIMENTO E INSTALAÇÃO. AF_11/2024</v>
      </c>
      <c r="E265" s="16" t="s">
        <v>24</v>
      </c>
      <c r="F265" s="18">
        <f>((0.84*6)+(3.5*2))</f>
        <v>12.04</v>
      </c>
      <c r="G265" s="19">
        <v>612.62900000000013</v>
      </c>
      <c r="H265" s="20">
        <v>0.26400000000000001</v>
      </c>
      <c r="I265" s="21">
        <f t="shared" ref="I265:I272" si="63">ROUND((G265*(1+H265)),2)</f>
        <v>774.36</v>
      </c>
      <c r="J265" s="62">
        <f t="shared" ref="J265:J272" si="64">ROUND((I265*F265),2)</f>
        <v>9323.2900000000009</v>
      </c>
    </row>
    <row r="266" spans="1:11" ht="25.5" x14ac:dyDescent="0.2">
      <c r="A266" s="16" t="s">
        <v>386</v>
      </c>
      <c r="B266" s="16" t="s">
        <v>91</v>
      </c>
      <c r="C266" s="16" t="str">
        <f>'[4]Composição (2)'!B53</f>
        <v>Q06</v>
      </c>
      <c r="D266" s="17" t="str">
        <f>'[4]Composição (2)'!D53</f>
        <v>JANELA DE ALUMÍNIO TIPO MAXIN-AR/BASCULANTE, CONFORME DETALHAMENTOS, COM VIDROS, BATENTE E FERRAGENS, INCLUSIVE ALIZAR, ACABAMENTO E CONTRAMARCO, FIXAÇÃO COM PARAFUSO. FORNECIMENTO E INSTALAÇÃO. AF_11/2024</v>
      </c>
      <c r="E266" s="16" t="s">
        <v>24</v>
      </c>
      <c r="F266" s="18">
        <v>2.0699999999999998</v>
      </c>
      <c r="G266" s="19">
        <v>548.7175000000002</v>
      </c>
      <c r="H266" s="20">
        <v>0.26400000000000001</v>
      </c>
      <c r="I266" s="21">
        <f t="shared" si="63"/>
        <v>693.58</v>
      </c>
      <c r="J266" s="62">
        <f t="shared" si="64"/>
        <v>1435.71</v>
      </c>
    </row>
    <row r="267" spans="1:11" ht="38.25" x14ac:dyDescent="0.2">
      <c r="A267" s="16" t="s">
        <v>387</v>
      </c>
      <c r="B267" s="16" t="s">
        <v>91</v>
      </c>
      <c r="C267" s="16" t="str">
        <f>'[4]Composição (2)'!B72</f>
        <v>Q09</v>
      </c>
      <c r="D267" s="17" t="str">
        <f>'[4]Composição (2)'!D72</f>
        <v>KIT DE PORTA-PRONTA DE MADEIRA EM ACABAMENTO LAQUEADO FOSCO BRANCO, FOLHA LEVE OU MÉDIA, 90X210, INCLUSIVE MARCO, ALIZAR, DOBRADIÇA, FECHADURA COM EXECUÇÃO DO FURO, FIXAÇÃO COM PREENCHIMENTO TOTAL DE ESPUMA EXPANSIVA - FORNECIMENTO E INSTALAÇÃO. AF_12/2019</v>
      </c>
      <c r="E267" s="16" t="s">
        <v>24</v>
      </c>
      <c r="F267" s="18">
        <v>8</v>
      </c>
      <c r="G267" s="19">
        <v>916.80149999999992</v>
      </c>
      <c r="H267" s="20">
        <v>0.26400000000000001</v>
      </c>
      <c r="I267" s="21">
        <f t="shared" si="63"/>
        <v>1158.8399999999999</v>
      </c>
      <c r="J267" s="62">
        <f t="shared" si="64"/>
        <v>9270.7199999999993</v>
      </c>
    </row>
    <row r="268" spans="1:11" ht="25.5" x14ac:dyDescent="0.2">
      <c r="A268" s="16" t="s">
        <v>388</v>
      </c>
      <c r="B268" s="16" t="s">
        <v>22</v>
      </c>
      <c r="C268" s="16">
        <v>91341</v>
      </c>
      <c r="D268" s="17" t="s">
        <v>389</v>
      </c>
      <c r="E268" s="16" t="s">
        <v>24</v>
      </c>
      <c r="F268" s="18">
        <f>22*1.68</f>
        <v>36.96</v>
      </c>
      <c r="G268" s="19">
        <v>891.37800000000004</v>
      </c>
      <c r="H268" s="20">
        <v>0.26400000000000001</v>
      </c>
      <c r="I268" s="21">
        <f t="shared" si="63"/>
        <v>1126.7</v>
      </c>
      <c r="J268" s="62">
        <f t="shared" si="64"/>
        <v>41642.83</v>
      </c>
    </row>
    <row r="269" spans="1:11" ht="25.5" x14ac:dyDescent="0.2">
      <c r="A269" s="16" t="s">
        <v>390</v>
      </c>
      <c r="B269" s="16" t="s">
        <v>91</v>
      </c>
      <c r="C269" s="16" t="str">
        <f>'[4]Composição (2)'!B78</f>
        <v>Q11</v>
      </c>
      <c r="D269" s="17" t="str">
        <f>'[4]Composição (2)'!D78</f>
        <v>PORTA DE CORRER DE ALUMÍNIO, EM VENEZIANA, 90x210, ESTRUTURA EXTERNA, SEM GUIA DE CHÃO, FECHADURA E PUXADOR. AF_12/2019</v>
      </c>
      <c r="E269" s="16" t="s">
        <v>174</v>
      </c>
      <c r="F269" s="18">
        <v>1</v>
      </c>
      <c r="G269" s="19">
        <v>1212.1085000000003</v>
      </c>
      <c r="H269" s="20">
        <v>0.26400000000000001</v>
      </c>
      <c r="I269" s="21">
        <f t="shared" si="63"/>
        <v>1532.11</v>
      </c>
      <c r="J269" s="62">
        <f t="shared" si="64"/>
        <v>1532.11</v>
      </c>
    </row>
    <row r="270" spans="1:11" ht="25.5" x14ac:dyDescent="0.2">
      <c r="A270" s="16" t="s">
        <v>391</v>
      </c>
      <c r="B270" s="16" t="s">
        <v>91</v>
      </c>
      <c r="C270" s="16" t="str">
        <f>'[4]Composição (2)'!B186</f>
        <v>Q27</v>
      </c>
      <c r="D270" s="17" t="str">
        <f>'[4]Composição (2)'!D186</f>
        <v>INSTALAÇÃO DE PORTÃO EM AÇO GALVANIZADO DE 1,10M DE ALTURA, COM MONTANTES TUBULARES DE 1.1/4", TRAVESSA SUPERIOR DE 1.1/2", GRADIL COM TELA OTIS, FIXADO EM GRADIL EXISTENTE.</v>
      </c>
      <c r="E270" s="16" t="s">
        <v>174</v>
      </c>
      <c r="F270" s="18">
        <v>2</v>
      </c>
      <c r="G270" s="19">
        <v>452.31049999999999</v>
      </c>
      <c r="H270" s="20">
        <v>0.26400000000000001</v>
      </c>
      <c r="I270" s="21">
        <f t="shared" si="63"/>
        <v>571.72</v>
      </c>
      <c r="J270" s="62">
        <f t="shared" si="64"/>
        <v>1143.44</v>
      </c>
    </row>
    <row r="271" spans="1:11" ht="25.5" x14ac:dyDescent="0.2">
      <c r="A271" s="16" t="s">
        <v>392</v>
      </c>
      <c r="B271" s="16" t="s">
        <v>91</v>
      </c>
      <c r="C271" s="16" t="str">
        <f>'[4]Composição (2)'!B278</f>
        <v>Q37</v>
      </c>
      <c r="D271" s="17" t="str">
        <f>'[4]Composição (2)'!D278</f>
        <v>FORNECIMENTO E INSTALAÇÃO DE PORTÃO DE GIRO, COM ESTRUTURA EM TUBO DE AÇO GALVANIZADO (COM PINTURA DE PROTEÇÃO), COM TELA OTIS, MALHA 5X5, DIMENSÕES DE 100X300 M</v>
      </c>
      <c r="E271" s="16" t="s">
        <v>174</v>
      </c>
      <c r="F271" s="18">
        <v>1</v>
      </c>
      <c r="G271" s="19">
        <v>777.60899999999992</v>
      </c>
      <c r="H271" s="20">
        <v>0.26400000000000001</v>
      </c>
      <c r="I271" s="21">
        <f t="shared" si="63"/>
        <v>982.9</v>
      </c>
      <c r="J271" s="62">
        <f t="shared" si="64"/>
        <v>982.9</v>
      </c>
    </row>
    <row r="272" spans="1:11" ht="25.5" x14ac:dyDescent="0.2">
      <c r="A272" s="16" t="s">
        <v>393</v>
      </c>
      <c r="B272" s="16" t="s">
        <v>91</v>
      </c>
      <c r="C272" s="16" t="str">
        <f>'[4]Composição (2)'!B285</f>
        <v>Q37.1</v>
      </c>
      <c r="D272" s="17" t="str">
        <f>'[4]Composição (2)'!D285</f>
        <v>FORNECIMENTO E INSTALAÇÃO DE PORTÃO DE GIRO, COM ESTRUTURA EM TUBO DE AÇO GALVANIZADO (COM PINTURA DE PROTEÇÃO), COM TELA OTIS, MALHA 5X5, DIMENSÕES DE 100X210 M</v>
      </c>
      <c r="E272" s="16" t="s">
        <v>174</v>
      </c>
      <c r="F272" s="18">
        <v>1</v>
      </c>
      <c r="G272" s="19">
        <v>466.56900000000007</v>
      </c>
      <c r="H272" s="20">
        <v>0.26400000000000001</v>
      </c>
      <c r="I272" s="21">
        <f t="shared" si="63"/>
        <v>589.74</v>
      </c>
      <c r="J272" s="62">
        <f t="shared" si="64"/>
        <v>589.74</v>
      </c>
    </row>
    <row r="273" spans="1:11" ht="25.5" x14ac:dyDescent="0.2">
      <c r="A273" s="16" t="s">
        <v>394</v>
      </c>
      <c r="B273" s="16" t="s">
        <v>91</v>
      </c>
      <c r="C273" s="16" t="str">
        <f>'[4]Composição (2)'!B299</f>
        <v>Q39</v>
      </c>
      <c r="D273" s="17" t="str">
        <f>'[4]Composição (2)'!D299</f>
        <v>PORTA CORTA-FOGO 130X210X5CM, DUAS FOLHAS, COM BARRA ANTI PÂNICO, INCLUSO PLACA DE SINALIZAÇÃO DE SEGURANÇA - FORNECIMENTO E INSTALAÇÃO. AF_10/2025</v>
      </c>
      <c r="E273" s="16" t="s">
        <v>174</v>
      </c>
      <c r="F273" s="18">
        <v>1</v>
      </c>
      <c r="G273" s="19">
        <v>3197.3599999999997</v>
      </c>
      <c r="H273" s="20">
        <v>0.26400000000000001</v>
      </c>
      <c r="I273" s="21">
        <f>ROUND((G273*(1+H273)),2)</f>
        <v>4041.46</v>
      </c>
      <c r="J273" s="62">
        <f>ROUND((I273*F273),2)</f>
        <v>4041.46</v>
      </c>
    </row>
    <row r="274" spans="1:11" ht="25.5" x14ac:dyDescent="0.2">
      <c r="A274" s="16" t="s">
        <v>395</v>
      </c>
      <c r="B274" s="16" t="s">
        <v>91</v>
      </c>
      <c r="C274" s="16" t="str">
        <f>'[4]Composição (2)'!B306</f>
        <v>Q40</v>
      </c>
      <c r="D274" s="17" t="str">
        <f>'[4]Composição (2)'!D306</f>
        <v>PORTA CORTA-FOGO 150X210X5CM, DUAS FOLHAS, COM BARRA ANTI PÂNICO, INCLUSO PLACA DE SINALIZAÇÃO DE SEGURANÇA - FORNECIMENTO E INSTALAÇÃO. AF_10/2025</v>
      </c>
      <c r="E274" s="16" t="s">
        <v>174</v>
      </c>
      <c r="F274" s="18">
        <v>2</v>
      </c>
      <c r="G274" s="19">
        <v>3452.2750000000001</v>
      </c>
      <c r="H274" s="20">
        <v>0.26400000000000001</v>
      </c>
      <c r="I274" s="21">
        <f>ROUND((G274*(1+H274)),2)</f>
        <v>4363.68</v>
      </c>
      <c r="J274" s="62">
        <f>ROUND((I274*F274),2)</f>
        <v>8727.36</v>
      </c>
    </row>
    <row r="275" spans="1:11" x14ac:dyDescent="0.2">
      <c r="A275" s="16" t="s">
        <v>396</v>
      </c>
      <c r="B275" s="16" t="s">
        <v>22</v>
      </c>
      <c r="C275" s="29">
        <v>101965</v>
      </c>
      <c r="D275" s="30" t="s">
        <v>204</v>
      </c>
      <c r="E275" s="29" t="s">
        <v>38</v>
      </c>
      <c r="F275" s="31">
        <v>18.100000000000001</v>
      </c>
      <c r="G275" s="19">
        <v>155.6095</v>
      </c>
      <c r="H275" s="20">
        <v>0.26400000000000001</v>
      </c>
      <c r="I275" s="21">
        <f t="shared" ref="I275" si="65">ROUND((G275*(1+H275)),2)</f>
        <v>196.69</v>
      </c>
      <c r="J275" s="62">
        <f t="shared" ref="J275" si="66">ROUND((I275*F275),2)</f>
        <v>3560.09</v>
      </c>
    </row>
    <row r="276" spans="1:11" x14ac:dyDescent="0.2">
      <c r="A276" s="25"/>
      <c r="B276" s="25"/>
      <c r="C276" s="25"/>
      <c r="D276" s="25" t="s">
        <v>108</v>
      </c>
      <c r="E276" s="25"/>
      <c r="F276" s="25"/>
      <c r="G276" s="25"/>
      <c r="H276" s="25"/>
      <c r="I276" s="25"/>
      <c r="J276" s="61">
        <f>SUM(J265:J275)</f>
        <v>82249.650000000009</v>
      </c>
    </row>
    <row r="277" spans="1:11" s="24" customFormat="1" x14ac:dyDescent="0.2">
      <c r="A277" s="25" t="s">
        <v>397</v>
      </c>
      <c r="B277" s="25"/>
      <c r="C277" s="25"/>
      <c r="D277" s="26" t="s">
        <v>278</v>
      </c>
      <c r="E277" s="25"/>
      <c r="F277" s="27"/>
      <c r="G277" s="28"/>
      <c r="H277" s="25"/>
      <c r="I277" s="25"/>
      <c r="J277" s="61"/>
      <c r="K277" s="23"/>
    </row>
    <row r="278" spans="1:11" ht="25.5" x14ac:dyDescent="0.2">
      <c r="A278" s="16" t="s">
        <v>398</v>
      </c>
      <c r="B278" s="16" t="s">
        <v>22</v>
      </c>
      <c r="C278" s="29">
        <v>97084</v>
      </c>
      <c r="D278" s="30" t="s">
        <v>210</v>
      </c>
      <c r="E278" s="29" t="s">
        <v>24</v>
      </c>
      <c r="F278" s="31">
        <f>3.49+3.49+3.81+3.81+7.49+8.46+46.23+16.63+19.08+8.4+45.02+16.34+3.49+3.49+3.81+3.81+7.49+8.46</f>
        <v>212.80000000000004</v>
      </c>
      <c r="G278" s="19">
        <v>0.69699999999999995</v>
      </c>
      <c r="H278" s="20">
        <v>0.26400000000000001</v>
      </c>
      <c r="I278" s="21">
        <f t="shared" ref="I278:I285" si="67">ROUND((G278*(1+H278)),2)</f>
        <v>0.88</v>
      </c>
      <c r="J278" s="62">
        <f t="shared" ref="J278:J285" si="68">ROUND((I278*F278),2)</f>
        <v>187.26</v>
      </c>
    </row>
    <row r="279" spans="1:11" ht="25.5" x14ac:dyDescent="0.2">
      <c r="A279" s="16" t="s">
        <v>399</v>
      </c>
      <c r="B279" s="16" t="s">
        <v>22</v>
      </c>
      <c r="C279" s="29">
        <v>94995</v>
      </c>
      <c r="D279" s="30" t="s">
        <v>400</v>
      </c>
      <c r="E279" s="29" t="s">
        <v>24</v>
      </c>
      <c r="F279" s="31">
        <f>3.49+3.49+3.81+3.81+7.49+10.98+46.23+16.63+19.08+2.52+9.29+8.4+45.02+16.34+3.49+3.49+3.81+3.81+7.49+10.98+18.9</f>
        <v>248.55000000000004</v>
      </c>
      <c r="G279" s="19">
        <v>83.869500000000002</v>
      </c>
      <c r="H279" s="20">
        <v>0.26400000000000001</v>
      </c>
      <c r="I279" s="21">
        <f t="shared" si="67"/>
        <v>106.01</v>
      </c>
      <c r="J279" s="62">
        <f t="shared" si="68"/>
        <v>26348.79</v>
      </c>
    </row>
    <row r="280" spans="1:11" ht="25.5" x14ac:dyDescent="0.2">
      <c r="A280" s="16" t="s">
        <v>401</v>
      </c>
      <c r="B280" s="16" t="s">
        <v>22</v>
      </c>
      <c r="C280" s="29">
        <v>87630</v>
      </c>
      <c r="D280" s="30" t="s">
        <v>402</v>
      </c>
      <c r="E280" s="29" t="s">
        <v>24</v>
      </c>
      <c r="F280" s="31">
        <f>F279</f>
        <v>248.55000000000004</v>
      </c>
      <c r="G280" s="19">
        <v>41.9985</v>
      </c>
      <c r="H280" s="20">
        <v>0.26400000000000001</v>
      </c>
      <c r="I280" s="21">
        <f t="shared" si="67"/>
        <v>53.09</v>
      </c>
      <c r="J280" s="62">
        <f t="shared" si="68"/>
        <v>13195.52</v>
      </c>
    </row>
    <row r="281" spans="1:11" ht="25.5" x14ac:dyDescent="0.2">
      <c r="A281" s="16" t="s">
        <v>403</v>
      </c>
      <c r="B281" s="16" t="s">
        <v>22</v>
      </c>
      <c r="C281" s="29">
        <v>104598</v>
      </c>
      <c r="D281" s="30" t="s">
        <v>404</v>
      </c>
      <c r="E281" s="29" t="s">
        <v>24</v>
      </c>
      <c r="F281" s="31">
        <f>F279+(((1.5*0.18)*7))+((1.2*0.18)*21)</f>
        <v>254.97600000000003</v>
      </c>
      <c r="G281" s="19">
        <v>89.878999999999991</v>
      </c>
      <c r="H281" s="20">
        <v>0.26400000000000001</v>
      </c>
      <c r="I281" s="21">
        <f t="shared" si="67"/>
        <v>113.61</v>
      </c>
      <c r="J281" s="62">
        <f t="shared" si="68"/>
        <v>28967.82</v>
      </c>
    </row>
    <row r="282" spans="1:11" ht="25.5" x14ac:dyDescent="0.2">
      <c r="A282" s="16" t="s">
        <v>405</v>
      </c>
      <c r="B282" s="16" t="s">
        <v>22</v>
      </c>
      <c r="C282" s="29">
        <v>104619</v>
      </c>
      <c r="D282" s="30" t="s">
        <v>406</v>
      </c>
      <c r="E282" s="29" t="s">
        <v>38</v>
      </c>
      <c r="F282" s="31">
        <f>((32.27-((0.9*2)+1.5))+(18.72-(1.3+0.9+0.9+0.9+1.5+1.2))+(32.27-((0.9*2)+1.5))+(15))</f>
        <v>84.960000000000008</v>
      </c>
      <c r="G282" s="19">
        <v>11.271000000000001</v>
      </c>
      <c r="H282" s="20">
        <v>0.26400000000000001</v>
      </c>
      <c r="I282" s="21">
        <f t="shared" si="67"/>
        <v>14.25</v>
      </c>
      <c r="J282" s="62">
        <f t="shared" si="68"/>
        <v>1210.68</v>
      </c>
    </row>
    <row r="283" spans="1:11" x14ac:dyDescent="0.2">
      <c r="A283" s="16" t="s">
        <v>219</v>
      </c>
      <c r="B283" s="16" t="s">
        <v>22</v>
      </c>
      <c r="C283" s="29">
        <v>102513</v>
      </c>
      <c r="D283" s="30" t="s">
        <v>407</v>
      </c>
      <c r="E283" s="29" t="s">
        <v>24</v>
      </c>
      <c r="F283" s="31">
        <f>0.96*7</f>
        <v>6.72</v>
      </c>
      <c r="G283" s="19">
        <v>46.732999999999997</v>
      </c>
      <c r="H283" s="20">
        <v>0.26400000000000001</v>
      </c>
      <c r="I283" s="21">
        <f t="shared" si="67"/>
        <v>59.07</v>
      </c>
      <c r="J283" s="62">
        <f t="shared" si="68"/>
        <v>396.95</v>
      </c>
    </row>
    <row r="284" spans="1:11" x14ac:dyDescent="0.2">
      <c r="A284" s="16" t="s">
        <v>408</v>
      </c>
      <c r="B284" s="16" t="s">
        <v>22</v>
      </c>
      <c r="C284" s="29">
        <v>98505</v>
      </c>
      <c r="D284" s="30" t="s">
        <v>222</v>
      </c>
      <c r="E284" s="29" t="s">
        <v>24</v>
      </c>
      <c r="F284" s="31">
        <v>14.085000000000001</v>
      </c>
      <c r="G284" s="19">
        <v>60.290500000000009</v>
      </c>
      <c r="H284" s="20">
        <v>0.26400000000000001</v>
      </c>
      <c r="I284" s="21">
        <f t="shared" si="67"/>
        <v>76.209999999999994</v>
      </c>
      <c r="J284" s="62">
        <f t="shared" si="68"/>
        <v>1073.42</v>
      </c>
    </row>
    <row r="285" spans="1:11" ht="25.5" x14ac:dyDescent="0.2">
      <c r="A285" s="16" t="s">
        <v>409</v>
      </c>
      <c r="B285" s="16" t="s">
        <v>22</v>
      </c>
      <c r="C285" s="29">
        <v>102669</v>
      </c>
      <c r="D285" s="30" t="s">
        <v>410</v>
      </c>
      <c r="E285" s="29" t="s">
        <v>38</v>
      </c>
      <c r="F285" s="31">
        <v>28.25</v>
      </c>
      <c r="G285" s="19">
        <v>69.835999999999999</v>
      </c>
      <c r="H285" s="20">
        <v>0.26400000000000001</v>
      </c>
      <c r="I285" s="21">
        <f t="shared" si="67"/>
        <v>88.27</v>
      </c>
      <c r="J285" s="62">
        <f t="shared" si="68"/>
        <v>2493.63</v>
      </c>
    </row>
    <row r="286" spans="1:11" x14ac:dyDescent="0.2">
      <c r="A286" s="25"/>
      <c r="B286" s="25"/>
      <c r="C286" s="25"/>
      <c r="D286" s="25" t="s">
        <v>108</v>
      </c>
      <c r="E286" s="25"/>
      <c r="F286" s="25"/>
      <c r="G286" s="25"/>
      <c r="H286" s="25"/>
      <c r="I286" s="25"/>
      <c r="J286" s="61">
        <f>SUM(J278:J285)</f>
        <v>73874.069999999992</v>
      </c>
    </row>
    <row r="287" spans="1:11" s="24" customFormat="1" x14ac:dyDescent="0.2">
      <c r="A287" s="25" t="s">
        <v>411</v>
      </c>
      <c r="B287" s="25"/>
      <c r="C287" s="25"/>
      <c r="D287" s="26" t="s">
        <v>226</v>
      </c>
      <c r="E287" s="25"/>
      <c r="F287" s="27"/>
      <c r="G287" s="28"/>
      <c r="H287" s="25"/>
      <c r="I287" s="25"/>
      <c r="J287" s="61"/>
      <c r="K287" s="23"/>
    </row>
    <row r="288" spans="1:11" ht="25.5" x14ac:dyDescent="0.2">
      <c r="A288" s="16" t="s">
        <v>412</v>
      </c>
      <c r="B288" s="16" t="s">
        <v>22</v>
      </c>
      <c r="C288" s="29">
        <v>86932</v>
      </c>
      <c r="D288" s="30" t="s">
        <v>228</v>
      </c>
      <c r="E288" s="29" t="s">
        <v>62</v>
      </c>
      <c r="F288" s="31">
        <v>11</v>
      </c>
      <c r="G288" s="19">
        <v>471.94550000000004</v>
      </c>
      <c r="H288" s="20">
        <v>0.26400000000000001</v>
      </c>
      <c r="I288" s="21">
        <f t="shared" ref="I288:I305" si="69">ROUND((G288*(1+H288)),2)</f>
        <v>596.54</v>
      </c>
      <c r="J288" s="62">
        <f t="shared" ref="J288:J305" si="70">ROUND((I288*F288),2)</f>
        <v>6561.94</v>
      </c>
    </row>
    <row r="289" spans="1:10" ht="25.5" x14ac:dyDescent="0.2">
      <c r="A289" s="16" t="s">
        <v>413</v>
      </c>
      <c r="B289" s="16" t="s">
        <v>22</v>
      </c>
      <c r="C289" s="29">
        <v>95471</v>
      </c>
      <c r="D289" s="30" t="s">
        <v>230</v>
      </c>
      <c r="E289" s="29" t="s">
        <v>62</v>
      </c>
      <c r="F289" s="31">
        <v>5</v>
      </c>
      <c r="G289" s="19">
        <v>683.77400000000011</v>
      </c>
      <c r="H289" s="20">
        <v>0.26400000000000001</v>
      </c>
      <c r="I289" s="21">
        <f t="shared" si="69"/>
        <v>864.29</v>
      </c>
      <c r="J289" s="62">
        <f t="shared" si="70"/>
        <v>4321.45</v>
      </c>
    </row>
    <row r="290" spans="1:10" ht="27" customHeight="1" x14ac:dyDescent="0.2">
      <c r="A290" s="16" t="s">
        <v>414</v>
      </c>
      <c r="B290" s="16" t="s">
        <v>22</v>
      </c>
      <c r="C290" s="29">
        <v>100858</v>
      </c>
      <c r="D290" s="30" t="s">
        <v>232</v>
      </c>
      <c r="E290" s="29" t="s">
        <v>62</v>
      </c>
      <c r="F290" s="31">
        <v>3</v>
      </c>
      <c r="G290" s="19">
        <v>573.75850000000003</v>
      </c>
      <c r="H290" s="20">
        <v>0.26400000000000001</v>
      </c>
      <c r="I290" s="21">
        <f t="shared" si="69"/>
        <v>725.23</v>
      </c>
      <c r="J290" s="62">
        <f t="shared" si="70"/>
        <v>2175.69</v>
      </c>
    </row>
    <row r="291" spans="1:10" ht="25.5" x14ac:dyDescent="0.2">
      <c r="A291" s="16" t="s">
        <v>415</v>
      </c>
      <c r="B291" s="16" t="s">
        <v>22</v>
      </c>
      <c r="C291" s="29">
        <v>86939</v>
      </c>
      <c r="D291" s="30" t="s">
        <v>234</v>
      </c>
      <c r="E291" s="29" t="s">
        <v>62</v>
      </c>
      <c r="F291" s="31">
        <v>5</v>
      </c>
      <c r="G291" s="19">
        <v>395.233</v>
      </c>
      <c r="H291" s="20">
        <v>0.26400000000000001</v>
      </c>
      <c r="I291" s="21">
        <f t="shared" si="69"/>
        <v>499.57</v>
      </c>
      <c r="J291" s="62">
        <f t="shared" si="70"/>
        <v>2497.85</v>
      </c>
    </row>
    <row r="292" spans="1:10" x14ac:dyDescent="0.2">
      <c r="A292" s="16" t="s">
        <v>416</v>
      </c>
      <c r="B292" s="16" t="s">
        <v>22</v>
      </c>
      <c r="C292" s="29">
        <v>100860</v>
      </c>
      <c r="D292" s="30" t="s">
        <v>417</v>
      </c>
      <c r="E292" s="29" t="s">
        <v>62</v>
      </c>
      <c r="F292" s="31">
        <v>12</v>
      </c>
      <c r="G292" s="19">
        <v>119.98599999999999</v>
      </c>
      <c r="H292" s="20">
        <v>0.26400000000000001</v>
      </c>
      <c r="I292" s="21">
        <f t="shared" si="69"/>
        <v>151.66</v>
      </c>
      <c r="J292" s="62">
        <f t="shared" si="70"/>
        <v>1819.92</v>
      </c>
    </row>
    <row r="293" spans="1:10" x14ac:dyDescent="0.2">
      <c r="A293" s="16" t="s">
        <v>418</v>
      </c>
      <c r="B293" s="16" t="s">
        <v>173</v>
      </c>
      <c r="C293" s="29">
        <v>4</v>
      </c>
      <c r="D293" s="30" t="s">
        <v>419</v>
      </c>
      <c r="E293" s="29" t="s">
        <v>62</v>
      </c>
      <c r="F293" s="31">
        <v>1</v>
      </c>
      <c r="G293" s="19">
        <v>144.79325</v>
      </c>
      <c r="H293" s="20">
        <v>0.26400000000000001</v>
      </c>
      <c r="I293" s="21">
        <f t="shared" si="69"/>
        <v>183.02</v>
      </c>
      <c r="J293" s="62">
        <f t="shared" si="70"/>
        <v>183.02</v>
      </c>
    </row>
    <row r="294" spans="1:10" x14ac:dyDescent="0.2">
      <c r="A294" s="16" t="s">
        <v>420</v>
      </c>
      <c r="B294" s="16" t="s">
        <v>173</v>
      </c>
      <c r="C294" s="29">
        <v>5</v>
      </c>
      <c r="D294" s="30" t="s">
        <v>421</v>
      </c>
      <c r="E294" s="29" t="s">
        <v>62</v>
      </c>
      <c r="F294" s="31">
        <v>1</v>
      </c>
      <c r="G294" s="19">
        <v>433.49150000000003</v>
      </c>
      <c r="H294" s="20">
        <v>0.26400000000000001</v>
      </c>
      <c r="I294" s="21">
        <f t="shared" si="69"/>
        <v>547.92999999999995</v>
      </c>
      <c r="J294" s="62">
        <f t="shared" si="70"/>
        <v>547.92999999999995</v>
      </c>
    </row>
    <row r="295" spans="1:10" x14ac:dyDescent="0.2">
      <c r="A295" s="16" t="s">
        <v>422</v>
      </c>
      <c r="B295" s="16" t="s">
        <v>22</v>
      </c>
      <c r="C295" s="29">
        <v>100875</v>
      </c>
      <c r="D295" s="30" t="s">
        <v>423</v>
      </c>
      <c r="E295" s="29" t="s">
        <v>62</v>
      </c>
      <c r="F295" s="31">
        <v>1</v>
      </c>
      <c r="G295" s="19">
        <v>983.50949999999989</v>
      </c>
      <c r="H295" s="20">
        <v>0.26400000000000001</v>
      </c>
      <c r="I295" s="21">
        <f t="shared" si="69"/>
        <v>1243.1600000000001</v>
      </c>
      <c r="J295" s="62">
        <f t="shared" si="70"/>
        <v>1243.1600000000001</v>
      </c>
    </row>
    <row r="296" spans="1:10" x14ac:dyDescent="0.2">
      <c r="A296" s="16" t="s">
        <v>422</v>
      </c>
      <c r="B296" s="16" t="s">
        <v>91</v>
      </c>
      <c r="C296" s="29" t="str">
        <f>'[4]Composição (2)'!B917</f>
        <v>Q81</v>
      </c>
      <c r="D296" s="30" t="str">
        <f>'[4]Composição (2)'!D917</f>
        <v>BANCO METÁLICO, SEM ENCOSTO, FIXADO NA PAREDE, EM TUBO DE INOX, PARA VESTIÁRIO ACESSÍVEL. INSTALAÇÃO E FORNECIMENTO</v>
      </c>
      <c r="E296" s="29" t="s">
        <v>62</v>
      </c>
      <c r="F296" s="31">
        <v>1</v>
      </c>
      <c r="G296" s="19">
        <v>1068.3649999999998</v>
      </c>
      <c r="H296" s="20">
        <v>0.26400000000000001</v>
      </c>
      <c r="I296" s="21">
        <f t="shared" si="69"/>
        <v>1350.41</v>
      </c>
      <c r="J296" s="62">
        <f t="shared" si="70"/>
        <v>1350.41</v>
      </c>
    </row>
    <row r="297" spans="1:10" x14ac:dyDescent="0.2">
      <c r="A297" s="16" t="s">
        <v>424</v>
      </c>
      <c r="B297" s="16" t="s">
        <v>173</v>
      </c>
      <c r="C297" s="29">
        <v>6</v>
      </c>
      <c r="D297" s="30" t="s">
        <v>425</v>
      </c>
      <c r="E297" s="29" t="s">
        <v>62</v>
      </c>
      <c r="F297" s="31">
        <v>1</v>
      </c>
      <c r="G297" s="19">
        <v>311.54199999999997</v>
      </c>
      <c r="H297" s="20">
        <v>0.26400000000000001</v>
      </c>
      <c r="I297" s="21">
        <f t="shared" si="69"/>
        <v>393.79</v>
      </c>
      <c r="J297" s="62">
        <f t="shared" si="70"/>
        <v>393.79</v>
      </c>
    </row>
    <row r="298" spans="1:10" ht="25.5" x14ac:dyDescent="0.2">
      <c r="A298" s="16" t="s">
        <v>426</v>
      </c>
      <c r="B298" s="16" t="s">
        <v>91</v>
      </c>
      <c r="C298" s="29" t="str">
        <f>'[4]Composição (2)'!B164</f>
        <v>Q23</v>
      </c>
      <c r="D298" s="30" t="str">
        <f>'[4]Composição (2)'!D164</f>
        <v>BANCADA GRANITO CINZA 460 X 50 CM, COM CUBAS DE EMBUTIR EM LOUÇA BRANCA, VÁLVULA E SIFÃO TIPO GARRAFA EM METAL CROMADO, ENGATE FLEXÍVEL 30 CM, TORNEIRA CROMADA DE MESA - FORNEC. E INSTALAÇÃO. AF_02/2026</v>
      </c>
      <c r="E298" s="29" t="s">
        <v>174</v>
      </c>
      <c r="F298" s="31">
        <v>1</v>
      </c>
      <c r="G298" s="19">
        <v>5687.2055</v>
      </c>
      <c r="H298" s="20">
        <v>0.26400000000000001</v>
      </c>
      <c r="I298" s="21">
        <f t="shared" si="69"/>
        <v>7188.63</v>
      </c>
      <c r="J298" s="62">
        <f t="shared" si="70"/>
        <v>7188.63</v>
      </c>
    </row>
    <row r="299" spans="1:10" ht="25.5" x14ac:dyDescent="0.2">
      <c r="A299" s="16" t="s">
        <v>427</v>
      </c>
      <c r="B299" s="16" t="s">
        <v>91</v>
      </c>
      <c r="C299" s="29" t="str">
        <f>'[4]Composição (2)'!B313</f>
        <v>Q41</v>
      </c>
      <c r="D299" s="30" t="str">
        <f>'[4]Composição (2)'!D313</f>
        <v>BANCADA GRANITO CINZA 500 X 50 CM, COM CUBAS DE EMBUTIR EM LOUÇA BRANCA, VÁLVULA E SIFÃO TIPO GARRAFA EM METAL CROMADO, ENGATE FLEXÍVEL 30 CM, TORNEIRA CROMADA DE MESA - FORNEC. E INSTALAÇÃO. AF_02/2026</v>
      </c>
      <c r="E299" s="29" t="s">
        <v>174</v>
      </c>
      <c r="F299" s="31">
        <v>1</v>
      </c>
      <c r="G299" s="19">
        <v>6277.5645000000004</v>
      </c>
      <c r="H299" s="20">
        <v>0.26400000000000001</v>
      </c>
      <c r="I299" s="21">
        <f t="shared" si="69"/>
        <v>7934.84</v>
      </c>
      <c r="J299" s="62">
        <f t="shared" si="70"/>
        <v>7934.84</v>
      </c>
    </row>
    <row r="300" spans="1:10" x14ac:dyDescent="0.2">
      <c r="A300" s="16" t="s">
        <v>428</v>
      </c>
      <c r="B300" s="16" t="s">
        <v>91</v>
      </c>
      <c r="C300" s="29" t="str">
        <f>'[4]Composição (2)'!B169</f>
        <v>Q24</v>
      </c>
      <c r="D300" s="30" t="str">
        <f>'[4]Composição (2)'!D169</f>
        <v>BARRA DE APOIO RETA, EM AÇO INOX POLIDO, COMPRIMENTO 40 CM, FIXADA NA PAREDE - FORNECIMENTO E INSTALAÇÃO. AF_02/2026</v>
      </c>
      <c r="E300" s="29" t="s">
        <v>174</v>
      </c>
      <c r="F300" s="31">
        <v>10</v>
      </c>
      <c r="G300" s="19">
        <v>241.71450000000002</v>
      </c>
      <c r="H300" s="20">
        <v>0.26400000000000001</v>
      </c>
      <c r="I300" s="21">
        <f t="shared" si="69"/>
        <v>305.52999999999997</v>
      </c>
      <c r="J300" s="62">
        <f t="shared" si="70"/>
        <v>3055.3</v>
      </c>
    </row>
    <row r="301" spans="1:10" x14ac:dyDescent="0.2">
      <c r="A301" s="16" t="s">
        <v>429</v>
      </c>
      <c r="B301" s="16" t="s">
        <v>91</v>
      </c>
      <c r="C301" s="29" t="str">
        <f>'[4]Composição (2)'!B324</f>
        <v>Q43</v>
      </c>
      <c r="D301" s="30" t="str">
        <f>'[4]Composição (2)'!D324</f>
        <v>PUXADOR PARA PCD (BARRA 40CM), FIXADO NA PORTA - FORNECIMENTO E INSTALAÇÃO. AF_02/2026</v>
      </c>
      <c r="E301" s="29" t="s">
        <v>62</v>
      </c>
      <c r="F301" s="31">
        <v>4</v>
      </c>
      <c r="G301" s="19">
        <v>246.56800000000004</v>
      </c>
      <c r="H301" s="20">
        <v>0.26400000000000001</v>
      </c>
      <c r="I301" s="21">
        <f t="shared" si="69"/>
        <v>311.66000000000003</v>
      </c>
      <c r="J301" s="62">
        <f t="shared" si="70"/>
        <v>1246.6400000000001</v>
      </c>
    </row>
    <row r="302" spans="1:10" x14ac:dyDescent="0.2">
      <c r="A302" s="16" t="s">
        <v>430</v>
      </c>
      <c r="B302" s="16" t="s">
        <v>22</v>
      </c>
      <c r="C302" s="29">
        <v>100867</v>
      </c>
      <c r="D302" s="30" t="s">
        <v>240</v>
      </c>
      <c r="E302" s="29" t="s">
        <v>62</v>
      </c>
      <c r="F302" s="31">
        <v>6</v>
      </c>
      <c r="G302" s="19">
        <v>315.20549999999997</v>
      </c>
      <c r="H302" s="20">
        <v>0.26400000000000001</v>
      </c>
      <c r="I302" s="21">
        <f t="shared" si="69"/>
        <v>398.42</v>
      </c>
      <c r="J302" s="62">
        <f t="shared" si="70"/>
        <v>2390.52</v>
      </c>
    </row>
    <row r="303" spans="1:10" x14ac:dyDescent="0.2">
      <c r="A303" s="16" t="s">
        <v>431</v>
      </c>
      <c r="B303" s="16" t="s">
        <v>22</v>
      </c>
      <c r="C303" s="29">
        <v>100868</v>
      </c>
      <c r="D303" s="30" t="s">
        <v>242</v>
      </c>
      <c r="E303" s="29" t="s">
        <v>62</v>
      </c>
      <c r="F303" s="31">
        <v>12</v>
      </c>
      <c r="G303" s="19">
        <v>326.57</v>
      </c>
      <c r="H303" s="20">
        <v>0.26400000000000001</v>
      </c>
      <c r="I303" s="21">
        <f t="shared" si="69"/>
        <v>412.78</v>
      </c>
      <c r="J303" s="62">
        <f t="shared" si="70"/>
        <v>4953.3599999999997</v>
      </c>
    </row>
    <row r="304" spans="1:10" x14ac:dyDescent="0.2">
      <c r="A304" s="16" t="s">
        <v>432</v>
      </c>
      <c r="B304" s="16" t="s">
        <v>22</v>
      </c>
      <c r="C304" s="29">
        <v>100863</v>
      </c>
      <c r="D304" s="30" t="s">
        <v>433</v>
      </c>
      <c r="E304" s="29" t="s">
        <v>62</v>
      </c>
      <c r="F304" s="31">
        <v>1</v>
      </c>
      <c r="G304" s="19">
        <v>566.32949999999994</v>
      </c>
      <c r="H304" s="20">
        <v>0.26400000000000001</v>
      </c>
      <c r="I304" s="21">
        <f t="shared" si="69"/>
        <v>715.84</v>
      </c>
      <c r="J304" s="62">
        <f t="shared" si="70"/>
        <v>715.84</v>
      </c>
    </row>
    <row r="305" spans="1:11" x14ac:dyDescent="0.2">
      <c r="A305" s="16" t="s">
        <v>434</v>
      </c>
      <c r="B305" s="16" t="s">
        <v>22</v>
      </c>
      <c r="C305" s="29">
        <v>106766</v>
      </c>
      <c r="D305" s="30" t="s">
        <v>244</v>
      </c>
      <c r="E305" s="29" t="s">
        <v>62</v>
      </c>
      <c r="F305" s="31">
        <v>16</v>
      </c>
      <c r="G305" s="19">
        <v>72.980999999999995</v>
      </c>
      <c r="H305" s="20">
        <v>0.26400000000000001</v>
      </c>
      <c r="I305" s="21">
        <f t="shared" si="69"/>
        <v>92.25</v>
      </c>
      <c r="J305" s="62">
        <f t="shared" si="70"/>
        <v>1476</v>
      </c>
    </row>
    <row r="306" spans="1:11" x14ac:dyDescent="0.2">
      <c r="A306" s="16" t="s">
        <v>435</v>
      </c>
      <c r="B306" s="16" t="s">
        <v>173</v>
      </c>
      <c r="C306" s="29">
        <v>2</v>
      </c>
      <c r="D306" s="30" t="str">
        <f>[4]Cotação!C18</f>
        <v>LIXEIRA DE AÇO INOX 5 LITROS COM PEDAL</v>
      </c>
      <c r="E306" s="29" t="s">
        <v>62</v>
      </c>
      <c r="F306" s="31">
        <v>11</v>
      </c>
      <c r="G306" s="19">
        <v>46.75</v>
      </c>
      <c r="H306" s="20">
        <v>0.26400000000000001</v>
      </c>
      <c r="I306" s="21">
        <f>ROUND((G306*(1+H306)),2)</f>
        <v>59.09</v>
      </c>
      <c r="J306" s="62">
        <f>ROUND((I306*F306),2)</f>
        <v>649.99</v>
      </c>
    </row>
    <row r="307" spans="1:11" x14ac:dyDescent="0.2">
      <c r="A307" s="16" t="s">
        <v>436</v>
      </c>
      <c r="B307" s="16" t="s">
        <v>173</v>
      </c>
      <c r="C307" s="29">
        <v>3</v>
      </c>
      <c r="D307" s="30" t="str">
        <f>[4]Cotação!C27</f>
        <v>LIXEIRA DE AÇO INOX 3 LITROS COM TAMPA VAI E VEM (PCD)</v>
      </c>
      <c r="E307" s="29" t="s">
        <v>62</v>
      </c>
      <c r="F307" s="31">
        <v>5</v>
      </c>
      <c r="G307" s="19">
        <v>72.25</v>
      </c>
      <c r="H307" s="20">
        <v>0.26400000000000001</v>
      </c>
      <c r="I307" s="21">
        <f>ROUND((G307*(1+H307)),2)</f>
        <v>91.32</v>
      </c>
      <c r="J307" s="62">
        <f>ROUND((I307*F307),2)</f>
        <v>456.6</v>
      </c>
    </row>
    <row r="308" spans="1:11" x14ac:dyDescent="0.2">
      <c r="A308" s="16" t="s">
        <v>437</v>
      </c>
      <c r="B308" s="16" t="s">
        <v>22</v>
      </c>
      <c r="C308" s="29">
        <v>95547</v>
      </c>
      <c r="D308" s="30" t="s">
        <v>246</v>
      </c>
      <c r="E308" s="29" t="s">
        <v>62</v>
      </c>
      <c r="F308" s="31">
        <v>11</v>
      </c>
      <c r="G308" s="19">
        <v>63.996500000000005</v>
      </c>
      <c r="H308" s="20">
        <v>0.26400000000000001</v>
      </c>
      <c r="I308" s="21">
        <f>ROUND((G308*(1+H308)),2)</f>
        <v>80.89</v>
      </c>
      <c r="J308" s="62">
        <f>ROUND((I308*F308),2)</f>
        <v>889.79</v>
      </c>
    </row>
    <row r="309" spans="1:11" x14ac:dyDescent="0.2">
      <c r="A309" s="16" t="s">
        <v>438</v>
      </c>
      <c r="B309" s="16" t="s">
        <v>22</v>
      </c>
      <c r="C309" s="29">
        <v>106765</v>
      </c>
      <c r="D309" s="30" t="s">
        <v>248</v>
      </c>
      <c r="E309" s="29" t="s">
        <v>62</v>
      </c>
      <c r="F309" s="31">
        <v>11</v>
      </c>
      <c r="G309" s="19">
        <v>72.980999999999995</v>
      </c>
      <c r="H309" s="20">
        <v>0.26400000000000001</v>
      </c>
      <c r="I309" s="21">
        <f>ROUND((G309*(1+H309)),2)</f>
        <v>92.25</v>
      </c>
      <c r="J309" s="62">
        <f>ROUND((I309*F309),2)</f>
        <v>1014.75</v>
      </c>
    </row>
    <row r="310" spans="1:11" x14ac:dyDescent="0.2">
      <c r="A310" s="16" t="s">
        <v>439</v>
      </c>
      <c r="B310" s="16" t="s">
        <v>22</v>
      </c>
      <c r="C310" s="29">
        <v>95545</v>
      </c>
      <c r="D310" s="30" t="s">
        <v>440</v>
      </c>
      <c r="E310" s="29" t="s">
        <v>62</v>
      </c>
      <c r="F310" s="31">
        <v>11</v>
      </c>
      <c r="G310" s="19">
        <v>44.429500000000004</v>
      </c>
      <c r="H310" s="20">
        <v>0.26400000000000001</v>
      </c>
      <c r="I310" s="21">
        <f t="shared" ref="I310:I313" si="71">ROUND((G310*(1+H310)),2)</f>
        <v>56.16</v>
      </c>
      <c r="J310" s="62">
        <f t="shared" ref="J310:J313" si="72">ROUND((I310*F310),2)</f>
        <v>617.76</v>
      </c>
    </row>
    <row r="311" spans="1:11" x14ac:dyDescent="0.2">
      <c r="A311" s="16" t="s">
        <v>441</v>
      </c>
      <c r="B311" s="16" t="s">
        <v>22</v>
      </c>
      <c r="C311" s="29">
        <v>95543</v>
      </c>
      <c r="D311" s="30" t="s">
        <v>442</v>
      </c>
      <c r="E311" s="29" t="s">
        <v>62</v>
      </c>
      <c r="F311" s="31">
        <v>11</v>
      </c>
      <c r="G311" s="19">
        <v>65.025000000000006</v>
      </c>
      <c r="H311" s="20">
        <v>0.26400000000000001</v>
      </c>
      <c r="I311" s="21">
        <f t="shared" si="71"/>
        <v>82.19</v>
      </c>
      <c r="J311" s="62">
        <f t="shared" si="72"/>
        <v>904.09</v>
      </c>
    </row>
    <row r="312" spans="1:11" ht="25.5" x14ac:dyDescent="0.2">
      <c r="A312" s="16" t="s">
        <v>443</v>
      </c>
      <c r="B312" s="16" t="s">
        <v>91</v>
      </c>
      <c r="C312" s="29" t="str">
        <f>'[4]Composição (2)'!B318</f>
        <v>Q42</v>
      </c>
      <c r="D312" s="30" t="str">
        <f>'[4]Composição (2)'!D318</f>
        <v>ESPELHO CRISTAL, ESPESSURA 4 MM, SEM MOLDURA, APARAFUSADO COM BOTÃO DE ROSCA INTERNA, COM ÁREA MAIOR QUE 1,0 M2.. AF_11/2025</v>
      </c>
      <c r="E312" s="29" t="s">
        <v>24</v>
      </c>
      <c r="F312" s="31">
        <f>((4.5*1.2)*2)+(4*3)</f>
        <v>22.799999999999997</v>
      </c>
      <c r="G312" s="19">
        <v>301.32499999999999</v>
      </c>
      <c r="H312" s="20">
        <v>0.26400000000000001</v>
      </c>
      <c r="I312" s="21">
        <f t="shared" si="71"/>
        <v>380.87</v>
      </c>
      <c r="J312" s="62">
        <f t="shared" si="72"/>
        <v>8683.84</v>
      </c>
    </row>
    <row r="313" spans="1:11" ht="25.5" x14ac:dyDescent="0.2">
      <c r="A313" s="16" t="s">
        <v>441</v>
      </c>
      <c r="B313" s="16" t="s">
        <v>91</v>
      </c>
      <c r="C313" s="29" t="str">
        <f>'[4]Composição (2)'!B921</f>
        <v>Q82</v>
      </c>
      <c r="D313" s="30" t="str">
        <f>'[4]Composição (2)'!D921</f>
        <v>INSTALAÇÃO E FORNECIMENTO DE TELHADO/TOLDO, PARA PROTEÇÃO CONTRA CHUVA, INCLUSO VEDAÇÕES CONTRA INFILTAÇÃO, NAS PORTAS DE SAÍDA DO BLOCO DOS FUNDOS</v>
      </c>
      <c r="E313" s="29" t="s">
        <v>62</v>
      </c>
      <c r="F313" s="31">
        <v>3</v>
      </c>
      <c r="G313" s="19">
        <v>819.04299999999989</v>
      </c>
      <c r="H313" s="20">
        <v>0.26400000000000001</v>
      </c>
      <c r="I313" s="21">
        <f t="shared" si="71"/>
        <v>1035.27</v>
      </c>
      <c r="J313" s="62">
        <f t="shared" si="72"/>
        <v>3105.81</v>
      </c>
    </row>
    <row r="314" spans="1:11" x14ac:dyDescent="0.2">
      <c r="A314" s="25"/>
      <c r="B314" s="25"/>
      <c r="C314" s="25"/>
      <c r="D314" s="25" t="s">
        <v>108</v>
      </c>
      <c r="E314" s="25"/>
      <c r="F314" s="25"/>
      <c r="G314" s="25"/>
      <c r="H314" s="25"/>
      <c r="I314" s="25"/>
      <c r="J314" s="61">
        <f>SUM(J288:J313)</f>
        <v>66378.92</v>
      </c>
    </row>
    <row r="315" spans="1:11" ht="12.75" customHeight="1" x14ac:dyDescent="0.2">
      <c r="A315" s="144" t="s">
        <v>43</v>
      </c>
      <c r="B315" s="145"/>
      <c r="C315" s="145"/>
      <c r="D315" s="145"/>
      <c r="E315" s="145"/>
      <c r="F315" s="145"/>
      <c r="G315" s="145"/>
      <c r="H315" s="145"/>
      <c r="I315" s="146"/>
      <c r="J315" s="60">
        <f>SUM(J241,J253,J259,J263,J276,J286,J314)</f>
        <v>563011.42000000004</v>
      </c>
    </row>
    <row r="316" spans="1:11" s="24" customFormat="1" x14ac:dyDescent="0.2">
      <c r="A316" s="12">
        <v>7</v>
      </c>
      <c r="B316" s="12"/>
      <c r="C316" s="12"/>
      <c r="D316" s="13" t="s">
        <v>444</v>
      </c>
      <c r="E316" s="12"/>
      <c r="F316" s="14"/>
      <c r="G316" s="15"/>
      <c r="H316" s="12"/>
      <c r="I316" s="12"/>
      <c r="J316" s="60"/>
      <c r="K316" s="23"/>
    </row>
    <row r="317" spans="1:11" s="24" customFormat="1" x14ac:dyDescent="0.2">
      <c r="A317" s="25" t="s">
        <v>445</v>
      </c>
      <c r="B317" s="25"/>
      <c r="C317" s="25"/>
      <c r="D317" s="26" t="s">
        <v>144</v>
      </c>
      <c r="E317" s="25"/>
      <c r="F317" s="27"/>
      <c r="G317" s="28"/>
      <c r="H317" s="25"/>
      <c r="I317" s="25"/>
      <c r="J317" s="61"/>
      <c r="K317" s="23"/>
    </row>
    <row r="318" spans="1:11" ht="38.25" x14ac:dyDescent="0.2">
      <c r="A318" s="16" t="s">
        <v>446</v>
      </c>
      <c r="B318" s="16" t="s">
        <v>22</v>
      </c>
      <c r="C318" s="16">
        <v>103360</v>
      </c>
      <c r="D318" s="17" t="s">
        <v>147</v>
      </c>
      <c r="E318" s="16" t="s">
        <v>24</v>
      </c>
      <c r="F318" s="18">
        <f>(((9.84+9.69+9.69+9.84+27.94+3.4+3.4+20.84)*2.5)+((5.15+5.15+1.2)*1.2))-((3.2*4)+(5.6)+(5*2)+(1.89*2))</f>
        <v>218.22000000000003</v>
      </c>
      <c r="G318" s="19">
        <v>83.350999999999999</v>
      </c>
      <c r="H318" s="20">
        <v>0.26400000000000001</v>
      </c>
      <c r="I318" s="21">
        <f>ROUND((G318*(1+H318)),2)</f>
        <v>105.36</v>
      </c>
      <c r="J318" s="62">
        <f>ROUND((I318*F318),2)</f>
        <v>22991.66</v>
      </c>
    </row>
    <row r="319" spans="1:11" x14ac:dyDescent="0.2">
      <c r="A319" s="16" t="s">
        <v>447</v>
      </c>
      <c r="B319" s="16" t="s">
        <v>22</v>
      </c>
      <c r="C319" s="16">
        <v>105023</v>
      </c>
      <c r="D319" s="17" t="s">
        <v>149</v>
      </c>
      <c r="E319" s="16" t="s">
        <v>38</v>
      </c>
      <c r="F319" s="18">
        <f>((2+2+3.5+2+2+5+5)+(0.9*2))*1.2</f>
        <v>27.96</v>
      </c>
      <c r="G319" s="19">
        <v>75.021000000000001</v>
      </c>
      <c r="H319" s="20">
        <v>0.26400000000000001</v>
      </c>
      <c r="I319" s="21">
        <f t="shared" ref="I319:I325" si="73">ROUND((G319*(1+H319)),2)</f>
        <v>94.83</v>
      </c>
      <c r="J319" s="62">
        <f t="shared" ref="J319:J325" si="74">ROUND((I319*F319),2)</f>
        <v>2651.45</v>
      </c>
    </row>
    <row r="320" spans="1:11" x14ac:dyDescent="0.2">
      <c r="A320" s="16" t="s">
        <v>448</v>
      </c>
      <c r="B320" s="16" t="s">
        <v>22</v>
      </c>
      <c r="C320" s="16">
        <v>105029</v>
      </c>
      <c r="D320" s="17" t="s">
        <v>151</v>
      </c>
      <c r="E320" s="16" t="s">
        <v>38</v>
      </c>
      <c r="F320" s="18">
        <f>((2+2+3.5+2+2+5+5)*1.2)</f>
        <v>25.8</v>
      </c>
      <c r="G320" s="19">
        <v>56.499499999999998</v>
      </c>
      <c r="H320" s="20">
        <v>0.26400000000000001</v>
      </c>
      <c r="I320" s="21">
        <f t="shared" si="73"/>
        <v>71.42</v>
      </c>
      <c r="J320" s="62">
        <f t="shared" si="74"/>
        <v>1842.64</v>
      </c>
    </row>
    <row r="321" spans="1:11" ht="25.5" x14ac:dyDescent="0.2">
      <c r="A321" s="16" t="s">
        <v>449</v>
      </c>
      <c r="B321" s="16" t="s">
        <v>22</v>
      </c>
      <c r="C321" s="16">
        <v>87905</v>
      </c>
      <c r="D321" s="17" t="s">
        <v>153</v>
      </c>
      <c r="E321" s="16" t="s">
        <v>24</v>
      </c>
      <c r="F321" s="18">
        <f>(F318*2)+(((9.84+9.69+9.69+9.84+27.94+3.4+3.4+20.84)*0.4)*2)</f>
        <v>512.15200000000004</v>
      </c>
      <c r="G321" s="19">
        <v>8.2705000000000002</v>
      </c>
      <c r="H321" s="20">
        <v>0.26400000000000001</v>
      </c>
      <c r="I321" s="21">
        <f t="shared" si="73"/>
        <v>10.45</v>
      </c>
      <c r="J321" s="62">
        <f t="shared" si="74"/>
        <v>5351.99</v>
      </c>
    </row>
    <row r="322" spans="1:11" ht="39" customHeight="1" x14ac:dyDescent="0.2">
      <c r="A322" s="16" t="s">
        <v>450</v>
      </c>
      <c r="B322" s="16" t="s">
        <v>22</v>
      </c>
      <c r="C322" s="16">
        <v>87775</v>
      </c>
      <c r="D322" s="17" t="s">
        <v>155</v>
      </c>
      <c r="E322" s="16" t="s">
        <v>24</v>
      </c>
      <c r="F322" s="18">
        <f>F321</f>
        <v>512.15200000000004</v>
      </c>
      <c r="G322" s="19">
        <v>54.06</v>
      </c>
      <c r="H322" s="20">
        <v>0.26400000000000001</v>
      </c>
      <c r="I322" s="21">
        <f t="shared" si="73"/>
        <v>68.33</v>
      </c>
      <c r="J322" s="62">
        <f t="shared" si="74"/>
        <v>34995.35</v>
      </c>
    </row>
    <row r="323" spans="1:11" ht="25.5" x14ac:dyDescent="0.2">
      <c r="A323" s="16" t="s">
        <v>451</v>
      </c>
      <c r="B323" s="16" t="s">
        <v>22</v>
      </c>
      <c r="C323" s="16">
        <v>88413</v>
      </c>
      <c r="D323" s="17" t="s">
        <v>260</v>
      </c>
      <c r="E323" s="16" t="s">
        <v>24</v>
      </c>
      <c r="F323" s="18">
        <f>F321</f>
        <v>512.15200000000004</v>
      </c>
      <c r="G323" s="19">
        <v>4.9130000000000003</v>
      </c>
      <c r="H323" s="20">
        <v>0.26400000000000001</v>
      </c>
      <c r="I323" s="21">
        <f t="shared" si="73"/>
        <v>6.21</v>
      </c>
      <c r="J323" s="62">
        <f t="shared" si="74"/>
        <v>3180.46</v>
      </c>
    </row>
    <row r="324" spans="1:11" x14ac:dyDescent="0.2">
      <c r="A324" s="16" t="s">
        <v>452</v>
      </c>
      <c r="B324" s="16" t="s">
        <v>22</v>
      </c>
      <c r="C324" s="16">
        <v>88497</v>
      </c>
      <c r="D324" s="17" t="s">
        <v>159</v>
      </c>
      <c r="E324" s="16" t="s">
        <v>24</v>
      </c>
      <c r="F324" s="18">
        <f>F323</f>
        <v>512.15200000000004</v>
      </c>
      <c r="G324" s="19">
        <v>17.926500000000001</v>
      </c>
      <c r="H324" s="20">
        <v>0.26400000000000001</v>
      </c>
      <c r="I324" s="21">
        <f t="shared" si="73"/>
        <v>22.66</v>
      </c>
      <c r="J324" s="62">
        <f t="shared" si="74"/>
        <v>11605.36</v>
      </c>
    </row>
    <row r="325" spans="1:11" ht="25.5" x14ac:dyDescent="0.2">
      <c r="A325" s="16" t="s">
        <v>453</v>
      </c>
      <c r="B325" s="16" t="s">
        <v>22</v>
      </c>
      <c r="C325" s="16">
        <v>88424</v>
      </c>
      <c r="D325" s="17" t="s">
        <v>161</v>
      </c>
      <c r="E325" s="16" t="s">
        <v>24</v>
      </c>
      <c r="F325" s="18">
        <f>F323</f>
        <v>512.15200000000004</v>
      </c>
      <c r="G325" s="19">
        <v>21.547499999999999</v>
      </c>
      <c r="H325" s="20">
        <v>0.26400000000000001</v>
      </c>
      <c r="I325" s="21">
        <f t="shared" si="73"/>
        <v>27.24</v>
      </c>
      <c r="J325" s="62">
        <f t="shared" si="74"/>
        <v>13951.02</v>
      </c>
    </row>
    <row r="326" spans="1:11" x14ac:dyDescent="0.2">
      <c r="A326" s="25"/>
      <c r="B326" s="25"/>
      <c r="C326" s="25"/>
      <c r="D326" s="25" t="s">
        <v>108</v>
      </c>
      <c r="E326" s="25"/>
      <c r="F326" s="25"/>
      <c r="G326" s="25"/>
      <c r="H326" s="25"/>
      <c r="I326" s="25"/>
      <c r="J326" s="61">
        <f>SUM(J318:J325)</f>
        <v>96569.930000000008</v>
      </c>
    </row>
    <row r="327" spans="1:11" s="24" customFormat="1" x14ac:dyDescent="0.2">
      <c r="A327" s="25" t="s">
        <v>454</v>
      </c>
      <c r="B327" s="25"/>
      <c r="C327" s="25"/>
      <c r="D327" s="26" t="s">
        <v>186</v>
      </c>
      <c r="E327" s="25"/>
      <c r="F327" s="27"/>
      <c r="G327" s="28"/>
      <c r="H327" s="25"/>
      <c r="I327" s="25"/>
      <c r="J327" s="61"/>
      <c r="K327" s="23"/>
    </row>
    <row r="328" spans="1:11" ht="25.5" x14ac:dyDescent="0.2">
      <c r="A328" s="16" t="s">
        <v>455</v>
      </c>
      <c r="B328" s="16" t="s">
        <v>22</v>
      </c>
      <c r="C328" s="29">
        <v>96486</v>
      </c>
      <c r="D328" s="30" t="s">
        <v>456</v>
      </c>
      <c r="E328" s="29" t="s">
        <v>24</v>
      </c>
      <c r="F328" s="31">
        <v>145.88</v>
      </c>
      <c r="G328" s="19">
        <v>65.739000000000004</v>
      </c>
      <c r="H328" s="20">
        <v>0.26400000000000001</v>
      </c>
      <c r="I328" s="21">
        <f t="shared" ref="I328" si="75">ROUND((G328*(1+H328)),2)</f>
        <v>83.09</v>
      </c>
      <c r="J328" s="62">
        <f t="shared" ref="J328" si="76">ROUND((I328*F328),2)</f>
        <v>12121.17</v>
      </c>
    </row>
    <row r="329" spans="1:11" x14ac:dyDescent="0.2">
      <c r="A329" s="25"/>
      <c r="B329" s="25"/>
      <c r="C329" s="25"/>
      <c r="D329" s="25" t="s">
        <v>108</v>
      </c>
      <c r="E329" s="25"/>
      <c r="F329" s="25"/>
      <c r="G329" s="25"/>
      <c r="H329" s="25"/>
      <c r="I329" s="25"/>
      <c r="J329" s="61">
        <f>SUM(J328:J328)</f>
        <v>12121.17</v>
      </c>
    </row>
    <row r="330" spans="1:11" s="24" customFormat="1" x14ac:dyDescent="0.2">
      <c r="A330" s="25" t="s">
        <v>457</v>
      </c>
      <c r="B330" s="25"/>
      <c r="C330" s="25"/>
      <c r="D330" s="26" t="s">
        <v>195</v>
      </c>
      <c r="E330" s="25"/>
      <c r="F330" s="27"/>
      <c r="G330" s="28"/>
      <c r="H330" s="25"/>
      <c r="I330" s="25"/>
      <c r="J330" s="61"/>
      <c r="K330" s="23"/>
    </row>
    <row r="331" spans="1:11" ht="25.5" x14ac:dyDescent="0.2">
      <c r="A331" s="16" t="s">
        <v>458</v>
      </c>
      <c r="B331" s="16" t="s">
        <v>91</v>
      </c>
      <c r="C331" s="16" t="str">
        <f>'[4]Composição (2)'!B53</f>
        <v>Q06</v>
      </c>
      <c r="D331" s="17" t="str">
        <f>'[4]Composição (2)'!D53</f>
        <v>JANELA DE ALUMÍNIO TIPO MAXIN-AR/BASCULANTE, CONFORME DETALHAMENTOS, COM VIDROS, BATENTE E FERRAGENS, INCLUSIVE ALIZAR, ACABAMENTO E CONTRAMARCO, FIXAÇÃO COM PARAFUSO. FORNECIMENTO E INSTALAÇÃO. AF_11/2024</v>
      </c>
      <c r="E331" s="16" t="s">
        <v>24</v>
      </c>
      <c r="F331" s="18">
        <f>((3.2*4)+(5.6)+(5*2))</f>
        <v>28.4</v>
      </c>
      <c r="G331" s="19">
        <v>548.7175000000002</v>
      </c>
      <c r="H331" s="20">
        <v>0.26400000000000001</v>
      </c>
      <c r="I331" s="21">
        <f t="shared" ref="I331:I333" si="77">ROUND((G331*(1+H331)),2)</f>
        <v>693.58</v>
      </c>
      <c r="J331" s="62">
        <f t="shared" ref="J331:J333" si="78">ROUND((I331*F331),2)</f>
        <v>19697.669999999998</v>
      </c>
    </row>
    <row r="332" spans="1:11" ht="25.5" x14ac:dyDescent="0.2">
      <c r="A332" s="16" t="s">
        <v>459</v>
      </c>
      <c r="B332" s="16" t="s">
        <v>22</v>
      </c>
      <c r="C332" s="16">
        <v>91341</v>
      </c>
      <c r="D332" s="17" t="s">
        <v>460</v>
      </c>
      <c r="E332" s="16" t="s">
        <v>24</v>
      </c>
      <c r="F332" s="18">
        <f>(0.9*2.1)*2</f>
        <v>3.7800000000000002</v>
      </c>
      <c r="G332" s="19">
        <v>891.37800000000004</v>
      </c>
      <c r="H332" s="20">
        <v>0.26400000000000001</v>
      </c>
      <c r="I332" s="21">
        <f t="shared" si="77"/>
        <v>1126.7</v>
      </c>
      <c r="J332" s="62">
        <f t="shared" si="78"/>
        <v>4258.93</v>
      </c>
    </row>
    <row r="333" spans="1:11" x14ac:dyDescent="0.2">
      <c r="A333" s="16" t="s">
        <v>461</v>
      </c>
      <c r="B333" s="16" t="s">
        <v>22</v>
      </c>
      <c r="C333" s="29">
        <v>101965</v>
      </c>
      <c r="D333" s="30" t="s">
        <v>204</v>
      </c>
      <c r="E333" s="29" t="s">
        <v>38</v>
      </c>
      <c r="F333" s="31">
        <v>21.5</v>
      </c>
      <c r="G333" s="19">
        <v>155.6095</v>
      </c>
      <c r="H333" s="20">
        <v>0.26400000000000001</v>
      </c>
      <c r="I333" s="21">
        <f t="shared" si="77"/>
        <v>196.69</v>
      </c>
      <c r="J333" s="62">
        <f t="shared" si="78"/>
        <v>4228.84</v>
      </c>
    </row>
    <row r="334" spans="1:11" x14ac:dyDescent="0.2">
      <c r="A334" s="25"/>
      <c r="B334" s="25"/>
      <c r="C334" s="25"/>
      <c r="D334" s="25" t="s">
        <v>108</v>
      </c>
      <c r="E334" s="25"/>
      <c r="F334" s="25"/>
      <c r="G334" s="25"/>
      <c r="H334" s="25"/>
      <c r="I334" s="25"/>
      <c r="J334" s="61">
        <f>SUM(J331:J333)</f>
        <v>28185.439999999999</v>
      </c>
    </row>
    <row r="335" spans="1:11" s="24" customFormat="1" x14ac:dyDescent="0.2">
      <c r="A335" s="25" t="s">
        <v>462</v>
      </c>
      <c r="B335" s="25"/>
      <c r="C335" s="25"/>
      <c r="D335" s="26" t="s">
        <v>278</v>
      </c>
      <c r="E335" s="25"/>
      <c r="F335" s="27"/>
      <c r="G335" s="28"/>
      <c r="H335" s="25"/>
      <c r="I335" s="25"/>
      <c r="J335" s="61"/>
      <c r="K335" s="23"/>
    </row>
    <row r="336" spans="1:11" ht="25.5" x14ac:dyDescent="0.2">
      <c r="A336" s="16" t="s">
        <v>463</v>
      </c>
      <c r="B336" s="16" t="s">
        <v>22</v>
      </c>
      <c r="C336" s="29">
        <v>87630</v>
      </c>
      <c r="D336" s="30" t="s">
        <v>280</v>
      </c>
      <c r="E336" s="29" t="s">
        <v>24</v>
      </c>
      <c r="F336" s="31">
        <v>196.87700000000001</v>
      </c>
      <c r="G336" s="19">
        <v>41.9985</v>
      </c>
      <c r="H336" s="20">
        <v>0.26400000000000001</v>
      </c>
      <c r="I336" s="21">
        <f t="shared" ref="I336:I338" si="79">ROUND((G336*(1+H336)),2)</f>
        <v>53.09</v>
      </c>
      <c r="J336" s="62">
        <f t="shared" ref="J336:J338" si="80">ROUND((I336*F336),2)</f>
        <v>10452.200000000001</v>
      </c>
    </row>
    <row r="337" spans="1:11" ht="25.5" x14ac:dyDescent="0.2">
      <c r="A337" s="16" t="s">
        <v>464</v>
      </c>
      <c r="B337" s="16" t="s">
        <v>22</v>
      </c>
      <c r="C337" s="29">
        <v>104598</v>
      </c>
      <c r="D337" s="30" t="s">
        <v>282</v>
      </c>
      <c r="E337" s="29" t="s">
        <v>24</v>
      </c>
      <c r="F337" s="31">
        <f>F336</f>
        <v>196.87700000000001</v>
      </c>
      <c r="G337" s="19">
        <v>89.878999999999991</v>
      </c>
      <c r="H337" s="20">
        <v>0.26400000000000001</v>
      </c>
      <c r="I337" s="21">
        <f t="shared" si="79"/>
        <v>113.61</v>
      </c>
      <c r="J337" s="62">
        <f t="shared" si="80"/>
        <v>22367.200000000001</v>
      </c>
    </row>
    <row r="338" spans="1:11" x14ac:dyDescent="0.2">
      <c r="A338" s="16" t="s">
        <v>465</v>
      </c>
      <c r="B338" s="16" t="s">
        <v>22</v>
      </c>
      <c r="C338" s="29">
        <v>104619</v>
      </c>
      <c r="D338" s="30" t="s">
        <v>315</v>
      </c>
      <c r="E338" s="29" t="s">
        <v>38</v>
      </c>
      <c r="F338" s="31">
        <f>(115.34)-(2+0.6+0.6+1.2)</f>
        <v>110.94</v>
      </c>
      <c r="G338" s="19">
        <v>11.271000000000001</v>
      </c>
      <c r="H338" s="20">
        <v>0.26400000000000001</v>
      </c>
      <c r="I338" s="21">
        <f t="shared" si="79"/>
        <v>14.25</v>
      </c>
      <c r="J338" s="62">
        <f t="shared" si="80"/>
        <v>1580.9</v>
      </c>
    </row>
    <row r="339" spans="1:11" x14ac:dyDescent="0.2">
      <c r="A339" s="25"/>
      <c r="B339" s="25"/>
      <c r="C339" s="25"/>
      <c r="D339" s="25" t="s">
        <v>108</v>
      </c>
      <c r="E339" s="25"/>
      <c r="F339" s="25"/>
      <c r="G339" s="25"/>
      <c r="H339" s="25"/>
      <c r="I339" s="25"/>
      <c r="J339" s="61">
        <f>SUM(J336:J338)</f>
        <v>34400.300000000003</v>
      </c>
    </row>
    <row r="340" spans="1:11" ht="15.75" customHeight="1" x14ac:dyDescent="0.2">
      <c r="A340" s="144" t="s">
        <v>43</v>
      </c>
      <c r="B340" s="145"/>
      <c r="C340" s="145"/>
      <c r="D340" s="145"/>
      <c r="E340" s="145"/>
      <c r="F340" s="145"/>
      <c r="G340" s="145"/>
      <c r="H340" s="145"/>
      <c r="I340" s="146"/>
      <c r="J340" s="60">
        <f>SUM(J326,J329,J334,J339)</f>
        <v>171276.84000000003</v>
      </c>
    </row>
    <row r="341" spans="1:11" s="24" customFormat="1" x14ac:dyDescent="0.2">
      <c r="A341" s="12">
        <v>8</v>
      </c>
      <c r="B341" s="12"/>
      <c r="C341" s="12"/>
      <c r="D341" s="13" t="s">
        <v>466</v>
      </c>
      <c r="E341" s="12"/>
      <c r="F341" s="14"/>
      <c r="G341" s="15"/>
      <c r="H341" s="12"/>
      <c r="I341" s="12"/>
      <c r="J341" s="60"/>
      <c r="K341" s="23"/>
    </row>
    <row r="342" spans="1:11" s="24" customFormat="1" x14ac:dyDescent="0.2">
      <c r="A342" s="25" t="s">
        <v>467</v>
      </c>
      <c r="B342" s="25"/>
      <c r="C342" s="25"/>
      <c r="D342" s="26" t="s">
        <v>144</v>
      </c>
      <c r="E342" s="25"/>
      <c r="F342" s="27"/>
      <c r="G342" s="28"/>
      <c r="H342" s="25"/>
      <c r="I342" s="25"/>
      <c r="J342" s="61"/>
      <c r="K342" s="23"/>
    </row>
    <row r="343" spans="1:11" ht="38.25" x14ac:dyDescent="0.2">
      <c r="A343" s="16" t="s">
        <v>468</v>
      </c>
      <c r="B343" s="16" t="s">
        <v>22</v>
      </c>
      <c r="C343" s="16">
        <v>103360</v>
      </c>
      <c r="D343" s="17" t="s">
        <v>147</v>
      </c>
      <c r="E343" s="16" t="s">
        <v>24</v>
      </c>
      <c r="F343" s="18">
        <f>((9.84+2.69+2.69+9.84+27.94+20.84)*1.8)</f>
        <v>132.91200000000001</v>
      </c>
      <c r="G343" s="19">
        <v>83.350999999999999</v>
      </c>
      <c r="H343" s="20">
        <v>0.26400000000000001</v>
      </c>
      <c r="I343" s="21">
        <f>ROUND((G343*(1+H343)),2)</f>
        <v>105.36</v>
      </c>
      <c r="J343" s="62">
        <f>ROUND((I343*F343),2)</f>
        <v>14003.61</v>
      </c>
    </row>
    <row r="344" spans="1:11" ht="25.5" x14ac:dyDescent="0.2">
      <c r="A344" s="16" t="s">
        <v>469</v>
      </c>
      <c r="B344" s="16" t="s">
        <v>22</v>
      </c>
      <c r="C344" s="16">
        <v>87905</v>
      </c>
      <c r="D344" s="17" t="s">
        <v>153</v>
      </c>
      <c r="E344" s="16" t="s">
        <v>24</v>
      </c>
      <c r="F344" s="18">
        <f>(F343*2)+((9.84+2.69+2.69+9.84+27.94+20.84)*0.2)</f>
        <v>280.59199999999998</v>
      </c>
      <c r="G344" s="19">
        <v>8.2705000000000002</v>
      </c>
      <c r="H344" s="20">
        <v>0.26400000000000001</v>
      </c>
      <c r="I344" s="21">
        <f t="shared" ref="I344:I348" si="81">ROUND((G344*(1+H344)),2)</f>
        <v>10.45</v>
      </c>
      <c r="J344" s="62">
        <f t="shared" ref="J344:J348" si="82">ROUND((I344*F344),2)</f>
        <v>2932.19</v>
      </c>
    </row>
    <row r="345" spans="1:11" ht="39" customHeight="1" x14ac:dyDescent="0.2">
      <c r="A345" s="16" t="s">
        <v>470</v>
      </c>
      <c r="B345" s="16" t="s">
        <v>22</v>
      </c>
      <c r="C345" s="16">
        <v>87775</v>
      </c>
      <c r="D345" s="17" t="s">
        <v>155</v>
      </c>
      <c r="E345" s="16" t="s">
        <v>24</v>
      </c>
      <c r="F345" s="18">
        <f>F344</f>
        <v>280.59199999999998</v>
      </c>
      <c r="G345" s="19">
        <v>54.06</v>
      </c>
      <c r="H345" s="20">
        <v>0.26400000000000001</v>
      </c>
      <c r="I345" s="21">
        <f t="shared" si="81"/>
        <v>68.33</v>
      </c>
      <c r="J345" s="62">
        <f t="shared" si="82"/>
        <v>19172.849999999999</v>
      </c>
    </row>
    <row r="346" spans="1:11" ht="25.5" x14ac:dyDescent="0.2">
      <c r="A346" s="16" t="s">
        <v>471</v>
      </c>
      <c r="B346" s="16" t="s">
        <v>22</v>
      </c>
      <c r="C346" s="16">
        <v>88413</v>
      </c>
      <c r="D346" s="17" t="s">
        <v>260</v>
      </c>
      <c r="E346" s="16" t="s">
        <v>24</v>
      </c>
      <c r="F346" s="18">
        <f>F344</f>
        <v>280.59199999999998</v>
      </c>
      <c r="G346" s="19">
        <v>4.9130000000000003</v>
      </c>
      <c r="H346" s="20">
        <v>0.26400000000000001</v>
      </c>
      <c r="I346" s="21">
        <f t="shared" si="81"/>
        <v>6.21</v>
      </c>
      <c r="J346" s="62">
        <f t="shared" si="82"/>
        <v>1742.48</v>
      </c>
    </row>
    <row r="347" spans="1:11" x14ac:dyDescent="0.2">
      <c r="A347" s="16" t="s">
        <v>472</v>
      </c>
      <c r="B347" s="16" t="s">
        <v>22</v>
      </c>
      <c r="C347" s="16">
        <v>88497</v>
      </c>
      <c r="D347" s="17" t="s">
        <v>159</v>
      </c>
      <c r="E347" s="16" t="s">
        <v>24</v>
      </c>
      <c r="F347" s="18">
        <f>F344</f>
        <v>280.59199999999998</v>
      </c>
      <c r="G347" s="19">
        <v>17.926500000000001</v>
      </c>
      <c r="H347" s="20">
        <v>0.26400000000000001</v>
      </c>
      <c r="I347" s="21">
        <f t="shared" si="81"/>
        <v>22.66</v>
      </c>
      <c r="J347" s="62">
        <f t="shared" si="82"/>
        <v>6358.21</v>
      </c>
    </row>
    <row r="348" spans="1:11" ht="25.5" x14ac:dyDescent="0.2">
      <c r="A348" s="16" t="s">
        <v>473</v>
      </c>
      <c r="B348" s="16" t="s">
        <v>22</v>
      </c>
      <c r="C348" s="16">
        <v>88424</v>
      </c>
      <c r="D348" s="17" t="s">
        <v>161</v>
      </c>
      <c r="E348" s="16" t="s">
        <v>24</v>
      </c>
      <c r="F348" s="18">
        <f>F344</f>
        <v>280.59199999999998</v>
      </c>
      <c r="G348" s="19">
        <v>21.547499999999999</v>
      </c>
      <c r="H348" s="20">
        <v>0.26400000000000001</v>
      </c>
      <c r="I348" s="21">
        <f t="shared" si="81"/>
        <v>27.24</v>
      </c>
      <c r="J348" s="62">
        <f t="shared" si="82"/>
        <v>7643.33</v>
      </c>
    </row>
    <row r="349" spans="1:11" x14ac:dyDescent="0.2">
      <c r="A349" s="25"/>
      <c r="B349" s="25"/>
      <c r="C349" s="25"/>
      <c r="D349" s="25" t="s">
        <v>108</v>
      </c>
      <c r="E349" s="25"/>
      <c r="F349" s="25"/>
      <c r="G349" s="25"/>
      <c r="H349" s="25"/>
      <c r="I349" s="25"/>
      <c r="J349" s="61">
        <f>SUM(J343:J348)</f>
        <v>51852.67</v>
      </c>
    </row>
    <row r="350" spans="1:11" x14ac:dyDescent="0.2">
      <c r="A350" s="25" t="s">
        <v>474</v>
      </c>
      <c r="B350" s="26"/>
      <c r="C350" s="26"/>
      <c r="D350" s="26" t="s">
        <v>320</v>
      </c>
      <c r="E350" s="25"/>
      <c r="F350" s="34"/>
      <c r="G350" s="28"/>
      <c r="H350" s="25"/>
      <c r="I350" s="25"/>
      <c r="J350" s="61"/>
    </row>
    <row r="351" spans="1:11" ht="25.5" x14ac:dyDescent="0.2">
      <c r="A351" s="16" t="s">
        <v>475</v>
      </c>
      <c r="B351" s="16" t="s">
        <v>22</v>
      </c>
      <c r="C351" s="16">
        <v>92610</v>
      </c>
      <c r="D351" s="17" t="s">
        <v>476</v>
      </c>
      <c r="E351" s="16" t="s">
        <v>62</v>
      </c>
      <c r="F351" s="18">
        <v>6</v>
      </c>
      <c r="G351" s="19">
        <v>1107.8985</v>
      </c>
      <c r="H351" s="20">
        <v>0.26400000000000001</v>
      </c>
      <c r="I351" s="21">
        <f t="shared" ref="I351:I357" si="83">ROUND((G351*(1+H351)),2)</f>
        <v>1400.38</v>
      </c>
      <c r="J351" s="62">
        <f t="shared" ref="J351:J357" si="84">ROUND((I351*F351),2)</f>
        <v>8402.2800000000007</v>
      </c>
    </row>
    <row r="352" spans="1:11" ht="25.5" x14ac:dyDescent="0.2">
      <c r="A352" s="16" t="s">
        <v>477</v>
      </c>
      <c r="B352" s="16" t="s">
        <v>22</v>
      </c>
      <c r="C352" s="16">
        <v>92616</v>
      </c>
      <c r="D352" s="17" t="s">
        <v>478</v>
      </c>
      <c r="E352" s="16" t="s">
        <v>62</v>
      </c>
      <c r="F352" s="18">
        <v>2</v>
      </c>
      <c r="G352" s="19">
        <v>1698.98</v>
      </c>
      <c r="H352" s="20">
        <v>0.26400000000000001</v>
      </c>
      <c r="I352" s="21">
        <f t="shared" si="83"/>
        <v>2147.5100000000002</v>
      </c>
      <c r="J352" s="62">
        <f t="shared" si="84"/>
        <v>4295.0200000000004</v>
      </c>
    </row>
    <row r="353" spans="1:11" ht="25.5" x14ac:dyDescent="0.2">
      <c r="A353" s="16" t="s">
        <v>479</v>
      </c>
      <c r="B353" s="16" t="s">
        <v>22</v>
      </c>
      <c r="C353" s="16">
        <v>92580</v>
      </c>
      <c r="D353" s="17" t="s">
        <v>326</v>
      </c>
      <c r="E353" s="16" t="s">
        <v>24</v>
      </c>
      <c r="F353" s="18">
        <v>204.47</v>
      </c>
      <c r="G353" s="19">
        <v>43.622</v>
      </c>
      <c r="H353" s="20">
        <v>0.26400000000000001</v>
      </c>
      <c r="I353" s="21">
        <f t="shared" si="83"/>
        <v>55.14</v>
      </c>
      <c r="J353" s="62">
        <f t="shared" si="84"/>
        <v>11274.48</v>
      </c>
    </row>
    <row r="354" spans="1:11" x14ac:dyDescent="0.2">
      <c r="A354" s="16" t="s">
        <v>480</v>
      </c>
      <c r="B354" s="16" t="s">
        <v>167</v>
      </c>
      <c r="C354" s="16">
        <v>5212552</v>
      </c>
      <c r="D354" s="17" t="s">
        <v>168</v>
      </c>
      <c r="E354" s="16" t="s">
        <v>24</v>
      </c>
      <c r="F354" s="18">
        <v>550</v>
      </c>
      <c r="G354" s="19">
        <v>14.025</v>
      </c>
      <c r="H354" s="20">
        <v>0.26400000000000001</v>
      </c>
      <c r="I354" s="21">
        <f t="shared" si="83"/>
        <v>17.73</v>
      </c>
      <c r="J354" s="62">
        <f t="shared" si="84"/>
        <v>9751.5</v>
      </c>
    </row>
    <row r="355" spans="1:11" x14ac:dyDescent="0.2">
      <c r="A355" s="16" t="s">
        <v>481</v>
      </c>
      <c r="B355" s="16" t="s">
        <v>22</v>
      </c>
      <c r="C355" s="16">
        <v>94216</v>
      </c>
      <c r="D355" s="17" t="s">
        <v>329</v>
      </c>
      <c r="E355" s="16" t="s">
        <v>24</v>
      </c>
      <c r="F355" s="18">
        <f>((9.28*3.4)*2)+(6.7334*21.14)</f>
        <v>205.44807599999999</v>
      </c>
      <c r="G355" s="19">
        <v>163.88849999999999</v>
      </c>
      <c r="H355" s="20">
        <v>0.26400000000000001</v>
      </c>
      <c r="I355" s="21">
        <f t="shared" si="83"/>
        <v>207.16</v>
      </c>
      <c r="J355" s="62">
        <f t="shared" si="84"/>
        <v>42560.62</v>
      </c>
    </row>
    <row r="356" spans="1:11" x14ac:dyDescent="0.2">
      <c r="A356" s="16" t="s">
        <v>482</v>
      </c>
      <c r="B356" s="16" t="s">
        <v>22</v>
      </c>
      <c r="C356" s="16">
        <v>100327</v>
      </c>
      <c r="D356" s="17" t="s">
        <v>331</v>
      </c>
      <c r="E356" s="16" t="s">
        <v>38</v>
      </c>
      <c r="F356" s="18">
        <f>52.08+40</f>
        <v>92.08</v>
      </c>
      <c r="G356" s="19">
        <v>46.486499999999999</v>
      </c>
      <c r="H356" s="20">
        <v>0.26400000000000001</v>
      </c>
      <c r="I356" s="21">
        <f t="shared" si="83"/>
        <v>58.76</v>
      </c>
      <c r="J356" s="62">
        <f t="shared" si="84"/>
        <v>5410.62</v>
      </c>
    </row>
    <row r="357" spans="1:11" ht="24.75" customHeight="1" x14ac:dyDescent="0.2">
      <c r="A357" s="16" t="s">
        <v>483</v>
      </c>
      <c r="B357" s="16" t="s">
        <v>91</v>
      </c>
      <c r="C357" s="16" t="str">
        <f>'[4]Composição (2)'!B260</f>
        <v>Q35</v>
      </c>
      <c r="D357" s="17" t="str">
        <f>'[4]Composição (2)'!D260</f>
        <v>CALHA EM CHAPA DE AÇO GALVANIZADO NÚMERO 24, DESENVOLVIMENTO DE 120 CM, INCLUSO TRANSPORTE VERTICAL. AF_07/2019</v>
      </c>
      <c r="E357" s="16" t="s">
        <v>38</v>
      </c>
      <c r="F357" s="18">
        <v>27.94</v>
      </c>
      <c r="G357" s="19">
        <v>170.87549999999999</v>
      </c>
      <c r="H357" s="20">
        <v>0.26400000000000001</v>
      </c>
      <c r="I357" s="21">
        <f t="shared" si="83"/>
        <v>215.99</v>
      </c>
      <c r="J357" s="62">
        <f t="shared" si="84"/>
        <v>6034.76</v>
      </c>
    </row>
    <row r="358" spans="1:11" x14ac:dyDescent="0.2">
      <c r="A358" s="25"/>
      <c r="B358" s="25"/>
      <c r="C358" s="25"/>
      <c r="D358" s="25" t="s">
        <v>108</v>
      </c>
      <c r="E358" s="25"/>
      <c r="F358" s="25"/>
      <c r="G358" s="25"/>
      <c r="H358" s="25"/>
      <c r="I358" s="25"/>
      <c r="J358" s="61">
        <f>SUM(J351:J357)</f>
        <v>87729.279999999984</v>
      </c>
    </row>
    <row r="359" spans="1:11" ht="12.75" customHeight="1" x14ac:dyDescent="0.2">
      <c r="A359" s="144" t="s">
        <v>43</v>
      </c>
      <c r="B359" s="145"/>
      <c r="C359" s="145"/>
      <c r="D359" s="145"/>
      <c r="E359" s="145"/>
      <c r="F359" s="145"/>
      <c r="G359" s="145"/>
      <c r="H359" s="145"/>
      <c r="I359" s="146"/>
      <c r="J359" s="60">
        <f>SUM(J349,J358)</f>
        <v>139581.94999999998</v>
      </c>
    </row>
    <row r="360" spans="1:11" s="24" customFormat="1" x14ac:dyDescent="0.2">
      <c r="A360" s="12">
        <v>9</v>
      </c>
      <c r="B360" s="12"/>
      <c r="C360" s="12"/>
      <c r="D360" s="13" t="s">
        <v>484</v>
      </c>
      <c r="E360" s="12"/>
      <c r="F360" s="14"/>
      <c r="G360" s="15"/>
      <c r="H360" s="12"/>
      <c r="I360" s="12"/>
      <c r="J360" s="60"/>
      <c r="K360" s="23"/>
    </row>
    <row r="361" spans="1:11" x14ac:dyDescent="0.2">
      <c r="A361" s="16" t="s">
        <v>485</v>
      </c>
      <c r="B361" s="16" t="s">
        <v>22</v>
      </c>
      <c r="C361" s="29">
        <v>103266</v>
      </c>
      <c r="D361" s="30" t="s">
        <v>486</v>
      </c>
      <c r="E361" s="29" t="s">
        <v>62</v>
      </c>
      <c r="F361" s="31">
        <v>9</v>
      </c>
      <c r="G361" s="19">
        <v>10105.667000000001</v>
      </c>
      <c r="H361" s="20">
        <v>0.26400000000000001</v>
      </c>
      <c r="I361" s="21">
        <f t="shared" ref="I361" si="85">ROUND((G361*(1+H361)),2)</f>
        <v>12773.56</v>
      </c>
      <c r="J361" s="62">
        <f t="shared" ref="J361" si="86">ROUND((I361*F361),2)</f>
        <v>114962.04</v>
      </c>
    </row>
    <row r="362" spans="1:11" ht="12.75" customHeight="1" x14ac:dyDescent="0.2">
      <c r="A362" s="144" t="s">
        <v>43</v>
      </c>
      <c r="B362" s="145"/>
      <c r="C362" s="145"/>
      <c r="D362" s="145"/>
      <c r="E362" s="145"/>
      <c r="F362" s="145"/>
      <c r="G362" s="145"/>
      <c r="H362" s="145"/>
      <c r="I362" s="146"/>
      <c r="J362" s="60">
        <f>SUM(J361:J361)</f>
        <v>114962.04</v>
      </c>
    </row>
    <row r="363" spans="1:11" s="24" customFormat="1" x14ac:dyDescent="0.2">
      <c r="A363" s="12">
        <v>10</v>
      </c>
      <c r="B363" s="12"/>
      <c r="C363" s="12"/>
      <c r="D363" s="13" t="s">
        <v>487</v>
      </c>
      <c r="E363" s="12"/>
      <c r="F363" s="14"/>
      <c r="G363" s="15"/>
      <c r="H363" s="12"/>
      <c r="I363" s="12"/>
      <c r="J363" s="60"/>
      <c r="K363" s="23"/>
    </row>
    <row r="364" spans="1:11" s="24" customFormat="1" x14ac:dyDescent="0.2">
      <c r="A364" s="25" t="s">
        <v>488</v>
      </c>
      <c r="B364" s="25"/>
      <c r="C364" s="25"/>
      <c r="D364" s="26" t="s">
        <v>47</v>
      </c>
      <c r="E364" s="25"/>
      <c r="F364" s="27"/>
      <c r="G364" s="28"/>
      <c r="H364" s="25"/>
      <c r="I364" s="25"/>
      <c r="J364" s="61"/>
      <c r="K364" s="23"/>
    </row>
    <row r="365" spans="1:11" x14ac:dyDescent="0.2">
      <c r="A365" s="16" t="s">
        <v>489</v>
      </c>
      <c r="B365" s="16" t="s">
        <v>91</v>
      </c>
      <c r="C365" s="16">
        <v>97897</v>
      </c>
      <c r="D365" s="17" t="s">
        <v>490</v>
      </c>
      <c r="E365" s="16" t="s">
        <v>62</v>
      </c>
      <c r="F365" s="18">
        <v>1</v>
      </c>
      <c r="G365" s="19">
        <v>439.55200000000002</v>
      </c>
      <c r="H365" s="20">
        <v>0.26400000000000001</v>
      </c>
      <c r="I365" s="21">
        <f t="shared" ref="I365:I373" si="87">ROUND((G365*(1+H365)),2)</f>
        <v>555.59</v>
      </c>
      <c r="J365" s="62">
        <f t="shared" ref="J365:J373" si="88">ROUND((I365*F365),2)</f>
        <v>555.59</v>
      </c>
    </row>
    <row r="366" spans="1:11" x14ac:dyDescent="0.2">
      <c r="A366" s="16" t="s">
        <v>491</v>
      </c>
      <c r="B366" s="16" t="s">
        <v>492</v>
      </c>
      <c r="C366" s="16">
        <v>12882</v>
      </c>
      <c r="D366" s="17" t="s">
        <v>493</v>
      </c>
      <c r="E366" s="16" t="s">
        <v>62</v>
      </c>
      <c r="F366" s="18">
        <v>1</v>
      </c>
      <c r="G366" s="19">
        <v>772.548</v>
      </c>
      <c r="H366" s="20">
        <v>0.26400000000000001</v>
      </c>
      <c r="I366" s="21">
        <f t="shared" si="87"/>
        <v>976.5</v>
      </c>
      <c r="J366" s="62">
        <f t="shared" si="88"/>
        <v>976.5</v>
      </c>
    </row>
    <row r="367" spans="1:11" ht="25.5" x14ac:dyDescent="0.2">
      <c r="A367" s="16" t="s">
        <v>494</v>
      </c>
      <c r="B367" s="16" t="s">
        <v>91</v>
      </c>
      <c r="C367" s="16" t="str">
        <f>'[4]Composição (2)'!B455</f>
        <v>Q54</v>
      </c>
      <c r="D367" s="17" t="str">
        <f>'[4]Composição (2)'!D455</f>
        <v>(COMPOSIÇÃO REPRESENTATIVA) DO SERVIÇO DE INSTALAÇÃO DE TUBOS DE PVC, SOLDÁVEL, ÁGUA FRIA, DN 40 MM (INSTALADO EM PRUMADA), INCLUSIVE CONEXÕES, CORTES E FIXAÇÕES, PARA PRÉDIOS. AF_10/2015</v>
      </c>
      <c r="E367" s="16" t="s">
        <v>38</v>
      </c>
      <c r="F367" s="18">
        <f>(1.5+1+1.5)*1.2</f>
        <v>4.8</v>
      </c>
      <c r="G367" s="19">
        <v>30.693499999999993</v>
      </c>
      <c r="H367" s="20">
        <v>0.26400000000000001</v>
      </c>
      <c r="I367" s="21">
        <f t="shared" si="87"/>
        <v>38.799999999999997</v>
      </c>
      <c r="J367" s="62">
        <f t="shared" si="88"/>
        <v>186.24</v>
      </c>
    </row>
    <row r="368" spans="1:11" ht="40.5" customHeight="1" x14ac:dyDescent="0.2">
      <c r="A368" s="16" t="s">
        <v>495</v>
      </c>
      <c r="B368" s="16" t="s">
        <v>91</v>
      </c>
      <c r="C368" s="16" t="str">
        <f>'[4]Composição (2)'!B481</f>
        <v>Q56</v>
      </c>
      <c r="D368" s="17" t="str">
        <f>'[4]Composição (2)'!D481</f>
        <v>(COMPOSIÇÃO REPRESENTATIVA) DO SERVIÇO DE INSTALAÇÃO DE TUBOS DE PVC, SOLDÁVEL, ÁGUA FRIA, DN 32 MM (INSTALADO EM RAMAL, SUB-RAMAL, RAMAL DE DISTRIBUIÇÃO OU PRUMADA), INCLUSIVE CONEXÕES, CORTES E FIXAÇÕES, PARA PRÉDIOS. AF_10/2015</v>
      </c>
      <c r="E368" s="16" t="s">
        <v>38</v>
      </c>
      <c r="F368" s="18">
        <f>((4.1+2+1+7)+1+3.5+3.5+22+24+22+3.7+5.5+5.4+1+3.2+3)*1.1</f>
        <v>123.09000000000002</v>
      </c>
      <c r="G368" s="19">
        <v>29.537499999999994</v>
      </c>
      <c r="H368" s="20">
        <v>0.26400000000000001</v>
      </c>
      <c r="I368" s="21">
        <f t="shared" si="87"/>
        <v>37.340000000000003</v>
      </c>
      <c r="J368" s="62">
        <f t="shared" si="88"/>
        <v>4596.18</v>
      </c>
    </row>
    <row r="369" spans="1:11" ht="38.25" customHeight="1" x14ac:dyDescent="0.2">
      <c r="A369" s="16" t="s">
        <v>496</v>
      </c>
      <c r="B369" s="16" t="s">
        <v>91</v>
      </c>
      <c r="C369" s="16" t="str">
        <f>'[4]Composição (2)'!B429</f>
        <v>Q53</v>
      </c>
      <c r="D369" s="17" t="str">
        <f>'[4]Composição (2)'!D429</f>
        <v>(COMPOSIÇÃO REPRESENTATIVA) DO SERVIÇO DE INSTALAÇÃO DE TUBOS DE PVC, SOLDÁVEL, ÁGUA FRIA, DN 25 MM (INSTALADO EM RAMAL, SUB-RAMAL, RAMAL DE DISTRIBUIÇÃO OU PRUMADA), INCLUSIVE CONEXÕES, CORTES E FIXAÇÕES, PARA PRÉDIOS. AF_10/2015</v>
      </c>
      <c r="E369" s="16" t="s">
        <v>38</v>
      </c>
      <c r="F369" s="18">
        <f>((0.8+3.5+4+1+2+3.6+6.2+22.6+3+3)+2+3+3+5+6+1+3.5+50)*1.1</f>
        <v>135.52000000000001</v>
      </c>
      <c r="G369" s="19">
        <v>44.879999999999995</v>
      </c>
      <c r="H369" s="20">
        <v>0.26400000000000001</v>
      </c>
      <c r="I369" s="21">
        <f t="shared" si="87"/>
        <v>56.73</v>
      </c>
      <c r="J369" s="62">
        <f t="shared" si="88"/>
        <v>7688.05</v>
      </c>
    </row>
    <row r="370" spans="1:11" ht="25.5" x14ac:dyDescent="0.2">
      <c r="A370" s="16" t="s">
        <v>497</v>
      </c>
      <c r="B370" s="16" t="s">
        <v>91</v>
      </c>
      <c r="C370" s="16" t="str">
        <f>'[4]Composição (2)'!B410</f>
        <v>Q52</v>
      </c>
      <c r="D370" s="17" t="str">
        <f>'[4]Composição (2)'!D410</f>
        <v>(COMPOSIÇÃO REPRESENTATIVA) DO SERVIÇO DE INSTALAÇÃO DE TUBOS DE PVC, SOLDÁVEL, ÁGUA FRIA, DN 20 MM (INSTALADO EM RAMAL, SUB-RAMAL OU RAMAL DE DISTRIBUIÇÃO), INCLUSIVE CONEXÕES, CORTES E FIXAÇÕES, PARA PRÉDIOS. AF_10/2015</v>
      </c>
      <c r="E370" s="16" t="s">
        <v>38</v>
      </c>
      <c r="F370" s="18">
        <f>(1+3.8+3+2.4+0.6+2+1+2+4+3+1)*1.1</f>
        <v>26.18</v>
      </c>
      <c r="G370" s="19">
        <v>45.381499999999996</v>
      </c>
      <c r="H370" s="20">
        <v>0.26400000000000001</v>
      </c>
      <c r="I370" s="21">
        <f t="shared" si="87"/>
        <v>57.36</v>
      </c>
      <c r="J370" s="62">
        <f t="shared" si="88"/>
        <v>1501.68</v>
      </c>
    </row>
    <row r="371" spans="1:11" ht="25.5" x14ac:dyDescent="0.2">
      <c r="A371" s="16" t="s">
        <v>498</v>
      </c>
      <c r="B371" s="16" t="s">
        <v>91</v>
      </c>
      <c r="C371" s="16" t="str">
        <f>'[4]Composição (2)'!B606</f>
        <v>Q60.1</v>
      </c>
      <c r="D371" s="17" t="str">
        <f>'[4]Composição (2)'!D606</f>
        <v>CONJUNTO DE LIGAÇÃO HIDRÁULICA DE ÁGUA FRIA PARA BANHEIRO (RAMAL/SUB-RAMAL E DISTRIBUIÇÃO) EM PVC, COM TUBOS, CONEXÕES, REGISTROS, CORTES E FIXAÇÕES EM PRÉDIO COM TUBULAÇÕES EMBUTIDAS COM RASGO. AF_05/2023</v>
      </c>
      <c r="E371" s="16" t="s">
        <v>174</v>
      </c>
      <c r="F371" s="18">
        <v>7</v>
      </c>
      <c r="G371" s="19">
        <v>485.40100000000007</v>
      </c>
      <c r="H371" s="20">
        <v>0.26400000000000001</v>
      </c>
      <c r="I371" s="21">
        <f t="shared" si="87"/>
        <v>613.54999999999995</v>
      </c>
      <c r="J371" s="62">
        <f t="shared" si="88"/>
        <v>4294.8500000000004</v>
      </c>
    </row>
    <row r="372" spans="1:11" ht="25.5" x14ac:dyDescent="0.2">
      <c r="A372" s="16" t="s">
        <v>499</v>
      </c>
      <c r="B372" s="16" t="s">
        <v>91</v>
      </c>
      <c r="C372" s="16" t="str">
        <f>'[4]Composição (2)'!B648</f>
        <v>Q61.1</v>
      </c>
      <c r="D372" s="17" t="str">
        <f>'[4]Composição (2)'!D648</f>
        <v>CONJUNTO DE LIGAÇÕES HIDRÁULICAS DE ÁGUA FRIA PARA COZINHA (RAMAL/SUB-RAMAL E DISTRIBUIÇÃO) EM PVC, COM TUBOS, CONEXÕES, REGISTROS, CORTES E FIXAÇÕES EM PRÉDIO COM TUBULAÇÕES EMBUTIDAS COM RASGO. AF_05/2023</v>
      </c>
      <c r="E372" s="16" t="s">
        <v>174</v>
      </c>
      <c r="F372" s="18">
        <v>2</v>
      </c>
      <c r="G372" s="19">
        <v>381.4205</v>
      </c>
      <c r="H372" s="20">
        <v>0.26400000000000001</v>
      </c>
      <c r="I372" s="21">
        <f t="shared" si="87"/>
        <v>482.12</v>
      </c>
      <c r="J372" s="62">
        <f t="shared" si="88"/>
        <v>964.24</v>
      </c>
    </row>
    <row r="373" spans="1:11" x14ac:dyDescent="0.2">
      <c r="A373" s="16" t="s">
        <v>500</v>
      </c>
      <c r="B373" s="16" t="s">
        <v>91</v>
      </c>
      <c r="C373" s="16" t="str">
        <f>'[4]Composição (2)'!B713</f>
        <v>Q65</v>
      </c>
      <c r="D373" s="17" t="str">
        <f>'[4]Composição (2)'!D713</f>
        <v>TANQUE DE POLIETILENO, 10000 LITROS (INCLUSOS TUBOS, CONEXÕES E TORNEIRA DE BÓIA) - FORNECIMENTO E INSTALAÇÃO</v>
      </c>
      <c r="E373" s="16" t="s">
        <v>174</v>
      </c>
      <c r="F373" s="18">
        <v>1</v>
      </c>
      <c r="G373" s="19">
        <v>4089.1885000000002</v>
      </c>
      <c r="H373" s="20">
        <v>0.26400000000000001</v>
      </c>
      <c r="I373" s="21">
        <f t="shared" si="87"/>
        <v>5168.7299999999996</v>
      </c>
      <c r="J373" s="62">
        <f t="shared" si="88"/>
        <v>5168.7299999999996</v>
      </c>
    </row>
    <row r="374" spans="1:11" x14ac:dyDescent="0.2">
      <c r="A374" s="25"/>
      <c r="B374" s="25"/>
      <c r="C374" s="25"/>
      <c r="D374" s="25" t="s">
        <v>108</v>
      </c>
      <c r="E374" s="25"/>
      <c r="F374" s="25"/>
      <c r="G374" s="25"/>
      <c r="H374" s="25"/>
      <c r="I374" s="25"/>
      <c r="J374" s="61">
        <f>SUM(J365:J373)</f>
        <v>25932.060000000005</v>
      </c>
    </row>
    <row r="375" spans="1:11" s="24" customFormat="1" x14ac:dyDescent="0.2">
      <c r="A375" s="25" t="s">
        <v>501</v>
      </c>
      <c r="B375" s="25"/>
      <c r="C375" s="25"/>
      <c r="D375" s="26" t="s">
        <v>110</v>
      </c>
      <c r="E375" s="25"/>
      <c r="F375" s="27"/>
      <c r="G375" s="28"/>
      <c r="H375" s="25"/>
      <c r="I375" s="25"/>
      <c r="J375" s="61"/>
      <c r="K375" s="23"/>
    </row>
    <row r="376" spans="1:11" ht="25.5" x14ac:dyDescent="0.2">
      <c r="A376" s="16" t="s">
        <v>502</v>
      </c>
      <c r="B376" s="16" t="s">
        <v>91</v>
      </c>
      <c r="C376" s="16" t="str">
        <f>'[4]Composição (2)'!B455</f>
        <v>Q54</v>
      </c>
      <c r="D376" s="17" t="str">
        <f>'[4]Composição (2)'!D455</f>
        <v>(COMPOSIÇÃO REPRESENTATIVA) DO SERVIÇO DE INSTALAÇÃO DE TUBOS DE PVC, SOLDÁVEL, ÁGUA FRIA, DN 40 MM (INSTALADO EM PRUMADA), INCLUSIVE CONEXÕES, CORTES E FIXAÇÕES, PARA PRÉDIOS. AF_10/2015</v>
      </c>
      <c r="E376" s="16" t="s">
        <v>38</v>
      </c>
      <c r="F376" s="18">
        <f>((1.3+0.6+1+0.4+0.7)*2)*1.05</f>
        <v>8.4</v>
      </c>
      <c r="G376" s="19">
        <v>30.693499999999993</v>
      </c>
      <c r="H376" s="20">
        <v>0.26400000000000001</v>
      </c>
      <c r="I376" s="21">
        <f>ROUND((G376*(1+H376)),2)</f>
        <v>38.799999999999997</v>
      </c>
      <c r="J376" s="62">
        <f>ROUND((I376*F376),2)</f>
        <v>325.92</v>
      </c>
    </row>
    <row r="377" spans="1:11" ht="40.5" customHeight="1" x14ac:dyDescent="0.2">
      <c r="A377" s="16" t="s">
        <v>503</v>
      </c>
      <c r="B377" s="16" t="s">
        <v>91</v>
      </c>
      <c r="C377" s="16" t="str">
        <f>'[4]Composição (2)'!B481</f>
        <v>Q56</v>
      </c>
      <c r="D377" s="17" t="str">
        <f>'[4]Composição (2)'!D481</f>
        <v>(COMPOSIÇÃO REPRESENTATIVA) DO SERVIÇO DE INSTALAÇÃO DE TUBOS DE PVC, SOLDÁVEL, ÁGUA FRIA, DN 32 MM (INSTALADO EM RAMAL, SUB-RAMAL, RAMAL DE DISTRIBUIÇÃO OU PRUMADA), INCLUSIVE CONEXÕES, CORTES E FIXAÇÕES, PARA PRÉDIOS. AF_10/2015</v>
      </c>
      <c r="E377" s="16" t="s">
        <v>38</v>
      </c>
      <c r="F377" s="18">
        <f>(((4.6+1.3+1+1)*2)+2.7+1.6+1.1+5.3+6.8+0.7+6.7+5.3+0.85+4.8+6.7+2.1+((4.5+1.5+1.5+1+1+4)*2))*1.05</f>
        <v>91.822500000000019</v>
      </c>
      <c r="G377" s="19">
        <v>29.537499999999994</v>
      </c>
      <c r="H377" s="20">
        <v>0.26400000000000001</v>
      </c>
      <c r="I377" s="21">
        <f>ROUND((G377*(1+H377)),2)</f>
        <v>37.340000000000003</v>
      </c>
      <c r="J377" s="62">
        <f>ROUND((I377*F377),2)</f>
        <v>3428.65</v>
      </c>
    </row>
    <row r="378" spans="1:11" ht="38.25" customHeight="1" x14ac:dyDescent="0.2">
      <c r="A378" s="16" t="s">
        <v>504</v>
      </c>
      <c r="B378" s="16" t="s">
        <v>91</v>
      </c>
      <c r="C378" s="16" t="str">
        <f>'[4]Composição (2)'!B429</f>
        <v>Q53</v>
      </c>
      <c r="D378" s="17" t="str">
        <f>'[4]Composição (2)'!D429</f>
        <v>(COMPOSIÇÃO REPRESENTATIVA) DO SERVIÇO DE INSTALAÇÃO DE TUBOS DE PVC, SOLDÁVEL, ÁGUA FRIA, DN 25 MM (INSTALADO EM RAMAL, SUB-RAMAL, RAMAL DE DISTRIBUIÇÃO OU PRUMADA), INCLUSIVE CONEXÕES, CORTES E FIXAÇÕES, PARA PRÉDIOS. AF_10/2015</v>
      </c>
      <c r="E378" s="16" t="s">
        <v>38</v>
      </c>
      <c r="F378" s="18">
        <f>(0.5+2+2.4+0.6+0.55+1.6+5.15+(1.5*6)+2+3+2.6+2+2.15+1.5+2.3+2+2+4+4.15+(1.5*5)+4+2+(1.35+1.75+1.35+25+1+4+4+52))*1.05</f>
        <v>161.1225</v>
      </c>
      <c r="G378" s="19">
        <v>44.879999999999995</v>
      </c>
      <c r="H378" s="20">
        <v>0.26400000000000001</v>
      </c>
      <c r="I378" s="21">
        <f>ROUND((G378*(1+H378)),2)</f>
        <v>56.73</v>
      </c>
      <c r="J378" s="62">
        <f>ROUND((I378*F378),2)</f>
        <v>9140.48</v>
      </c>
    </row>
    <row r="379" spans="1:11" ht="25.5" x14ac:dyDescent="0.2">
      <c r="A379" s="16" t="s">
        <v>505</v>
      </c>
      <c r="B379" s="16" t="s">
        <v>91</v>
      </c>
      <c r="C379" s="16" t="str">
        <f>'[4]Composição (2)'!B410</f>
        <v>Q52</v>
      </c>
      <c r="D379" s="17" t="str">
        <f>'[4]Composição (2)'!D410</f>
        <v>(COMPOSIÇÃO REPRESENTATIVA) DO SERVIÇO DE INSTALAÇÃO DE TUBOS DE PVC, SOLDÁVEL, ÁGUA FRIA, DN 20 MM (INSTALADO EM RAMAL, SUB-RAMAL OU RAMAL DE DISTRIBUIÇÃO), INCLUSIVE CONEXÕES, CORTES E FIXAÇÕES, PARA PRÉDIOS. AF_10/2015</v>
      </c>
      <c r="E379" s="16" t="s">
        <v>38</v>
      </c>
      <c r="F379" s="18">
        <f>(0.6+2+0.6+(2*5)+4+4.1+2+2.5+2.6+1.5+1.5+4.8+4.8+1+(2*6)+2+4+1)*1.05</f>
        <v>64.05</v>
      </c>
      <c r="G379" s="19">
        <v>45.381499999999996</v>
      </c>
      <c r="H379" s="20">
        <v>0.26400000000000001</v>
      </c>
      <c r="I379" s="21">
        <f>ROUND((G379*(1+H379)),2)</f>
        <v>57.36</v>
      </c>
      <c r="J379" s="62">
        <f>ROUND((I379*F379),2)</f>
        <v>3673.91</v>
      </c>
    </row>
    <row r="380" spans="1:11" ht="25.5" x14ac:dyDescent="0.2">
      <c r="A380" s="16" t="s">
        <v>506</v>
      </c>
      <c r="B380" s="16" t="s">
        <v>91</v>
      </c>
      <c r="C380" s="16" t="str">
        <f>'[4]Composição (2)'!B521</f>
        <v>Q57.1</v>
      </c>
      <c r="D380" s="17" t="str">
        <f>'[4]Composição (2)'!D521</f>
        <v>CONJUNTO DE LIGAÇÃO HIDRÁULICA DE ÁGUA FRIA PARA ÁREA DE SERVIÇO (RAMAL/SUB-RAMAL E DISTRIBUIÇÃO) EM PVC, COM TUBOS, CONEXÕES, REGISTROS, CORTES E FIXAÇÕES EM PRÉDIO COM TUBULAÇÕES EMBUTIDAS COM RASGO. AF_05/2023</v>
      </c>
      <c r="E380" s="16" t="s">
        <v>174</v>
      </c>
      <c r="F380" s="18">
        <v>1</v>
      </c>
      <c r="G380" s="19">
        <v>311.56750000000005</v>
      </c>
      <c r="H380" s="20">
        <v>0.26400000000000001</v>
      </c>
      <c r="I380" s="21">
        <f t="shared" ref="I380:I382" si="89">ROUND((G380*(1+H380)),2)</f>
        <v>393.82</v>
      </c>
      <c r="J380" s="62">
        <f t="shared" ref="J380:J382" si="90">ROUND((I380*F380),2)</f>
        <v>393.82</v>
      </c>
    </row>
    <row r="381" spans="1:11" ht="25.5" x14ac:dyDescent="0.2">
      <c r="A381" s="16" t="s">
        <v>507</v>
      </c>
      <c r="B381" s="16" t="s">
        <v>91</v>
      </c>
      <c r="C381" s="16" t="str">
        <f>'[4]Composição (2)'!B606</f>
        <v>Q60.1</v>
      </c>
      <c r="D381" s="17" t="str">
        <f>'[4]Composição (2)'!D606</f>
        <v>CONJUNTO DE LIGAÇÃO HIDRÁULICA DE ÁGUA FRIA PARA BANHEIRO (RAMAL/SUB-RAMAL E DISTRIBUIÇÃO) EM PVC, COM TUBOS, CONEXÕES, REGISTROS, CORTES E FIXAÇÕES EM PRÉDIO COM TUBULAÇÕES EMBUTIDAS COM RASGO. AF_05/2023</v>
      </c>
      <c r="E381" s="16" t="s">
        <v>174</v>
      </c>
      <c r="F381" s="18">
        <v>12</v>
      </c>
      <c r="G381" s="19">
        <v>485.40100000000007</v>
      </c>
      <c r="H381" s="20">
        <v>0.26400000000000001</v>
      </c>
      <c r="I381" s="21">
        <f t="shared" si="89"/>
        <v>613.54999999999995</v>
      </c>
      <c r="J381" s="62">
        <f t="shared" si="90"/>
        <v>7362.6</v>
      </c>
    </row>
    <row r="382" spans="1:11" x14ac:dyDescent="0.2">
      <c r="A382" s="16" t="s">
        <v>508</v>
      </c>
      <c r="B382" s="16" t="s">
        <v>91</v>
      </c>
      <c r="C382" s="16" t="str">
        <f>'[4]Composição (2)'!B698</f>
        <v>Q64</v>
      </c>
      <c r="D382" s="17" t="str">
        <f>'[4]Composição (2)'!D698</f>
        <v>TANQUE DE POLIETILENO, 5000 LITROS (INCLUSOS TUBOS, CONEXÕES E TORNEIRA DE BÓIA) - FORNECIMENTO E INSTALAÇÃO</v>
      </c>
      <c r="E382" s="16" t="s">
        <v>174</v>
      </c>
      <c r="F382" s="18">
        <v>4</v>
      </c>
      <c r="G382" s="19">
        <v>2217.5565000000001</v>
      </c>
      <c r="H382" s="20">
        <v>0.26400000000000001</v>
      </c>
      <c r="I382" s="21">
        <f t="shared" si="89"/>
        <v>2802.99</v>
      </c>
      <c r="J382" s="62">
        <f t="shared" si="90"/>
        <v>11211.96</v>
      </c>
    </row>
    <row r="383" spans="1:11" x14ac:dyDescent="0.2">
      <c r="A383" s="25"/>
      <c r="B383" s="25"/>
      <c r="C383" s="25"/>
      <c r="D383" s="25" t="s">
        <v>108</v>
      </c>
      <c r="E383" s="25"/>
      <c r="F383" s="25"/>
      <c r="G383" s="25"/>
      <c r="H383" s="25"/>
      <c r="I383" s="25"/>
      <c r="J383" s="61">
        <f>SUM(J376:J382)</f>
        <v>35537.339999999997</v>
      </c>
    </row>
    <row r="384" spans="1:11" ht="13.5" customHeight="1" x14ac:dyDescent="0.2">
      <c r="A384" s="144" t="s">
        <v>43</v>
      </c>
      <c r="B384" s="145"/>
      <c r="C384" s="145"/>
      <c r="D384" s="145"/>
      <c r="E384" s="145"/>
      <c r="F384" s="145"/>
      <c r="G384" s="145"/>
      <c r="H384" s="145"/>
      <c r="I384" s="146"/>
      <c r="J384" s="60">
        <f>SUM(J374,J383)</f>
        <v>61469.4</v>
      </c>
    </row>
    <row r="385" spans="1:11" s="24" customFormat="1" x14ac:dyDescent="0.2">
      <c r="A385" s="12">
        <v>11</v>
      </c>
      <c r="B385" s="12"/>
      <c r="C385" s="12"/>
      <c r="D385" s="13" t="s">
        <v>509</v>
      </c>
      <c r="E385" s="12"/>
      <c r="F385" s="14"/>
      <c r="G385" s="15"/>
      <c r="H385" s="12"/>
      <c r="I385" s="12"/>
      <c r="J385" s="60"/>
      <c r="K385" s="23"/>
    </row>
    <row r="386" spans="1:11" s="24" customFormat="1" x14ac:dyDescent="0.2">
      <c r="A386" s="25" t="s">
        <v>510</v>
      </c>
      <c r="B386" s="25"/>
      <c r="C386" s="25"/>
      <c r="D386" s="26" t="s">
        <v>47</v>
      </c>
      <c r="E386" s="25"/>
      <c r="F386" s="27"/>
      <c r="G386" s="28"/>
      <c r="H386" s="25"/>
      <c r="I386" s="25"/>
      <c r="J386" s="61"/>
      <c r="K386" s="23"/>
    </row>
    <row r="387" spans="1:11" ht="38.25" customHeight="1" x14ac:dyDescent="0.2">
      <c r="A387" s="16" t="s">
        <v>511</v>
      </c>
      <c r="B387" s="16" t="s">
        <v>91</v>
      </c>
      <c r="C387" s="16" t="str">
        <f>'[4]Composição (2)'!B740</f>
        <v>Q67</v>
      </c>
      <c r="D387" s="17" t="str">
        <f>'[4]Composição (2)'!D740</f>
        <v>(COMPOSIÇÃO REPRESENTATIVA) DO SERVIÇO DE INSTALAÇÃO DE TUBO DE PVC, SÉRIE NORMAL, ESGOTO PREDIAL, DN 50 MM (INSTALADO EM RAMAL DE DESCARGA OU RAMAL DE ESGOTO SANITÁRIO), INCLUSIVE CONEXÕES, CORTES E FIXAÇÕES, PARA PRÉDIOS</v>
      </c>
      <c r="E387" s="16" t="s">
        <v>38</v>
      </c>
      <c r="F387" s="18">
        <f>((17*0.5)+0.22+0.64+0.55+(0.45*4)+1+0.4+0.25+0.25+0.25+2.1+0.25+0.55+0.5+(0.45*6)+1.4+0.4+0.2+3+(0.23*4)+1.75+2.65+1+0.6+0.4+0.3+0.3+0.9+1.4+0.3+2.4+5.25+(0.56*3)+0.45+0.8+0.6+0.95)*1.1</f>
        <v>52.370999999999995</v>
      </c>
      <c r="G387" s="19">
        <v>44.276499999999992</v>
      </c>
      <c r="H387" s="20">
        <v>0.26400000000000001</v>
      </c>
      <c r="I387" s="21">
        <f>ROUND((G387*(1+H387)),2)</f>
        <v>55.97</v>
      </c>
      <c r="J387" s="62">
        <f>ROUND((I387*F387),2)</f>
        <v>2931.2</v>
      </c>
    </row>
    <row r="388" spans="1:11" ht="25.5" x14ac:dyDescent="0.2">
      <c r="A388" s="16" t="s">
        <v>512</v>
      </c>
      <c r="B388" s="16" t="s">
        <v>91</v>
      </c>
      <c r="C388" s="16" t="str">
        <f>'[4]Composição (2)'!B753</f>
        <v>Q68</v>
      </c>
      <c r="D388" s="17" t="str">
        <f>'[4]Composição (2)'!D753</f>
        <v xml:space="preserve">(COMPOSIÇÃO REPRESENTATIVA) DO SERVIÇO DE INST. TUBO PVC, SÉRIE N, ESGOTO PREDIAL, DN 75 MM, (INST. EM RAMAL DE DESCARGA, RAMAL DE ESG. SANITÁRIO, PRUMADA DE ESG. SANITÁRIO OU VENTILAÇÃO), INCL. CONEXÕES, CORTES E FIXAÇÕES, P/ PRÉDIOS. </v>
      </c>
      <c r="E388" s="16" t="s">
        <v>38</v>
      </c>
      <c r="F388" s="18">
        <f>(0.5+0.4+3.25+0.55+0.75+1.25+0.15+0.7+0.6+0.7+0.15+0.5+1.1+3.45+0.3+1+0.7+(10*4)+1+0.95+0.4)*1.1</f>
        <v>64.240000000000009</v>
      </c>
      <c r="G388" s="19">
        <v>43.792000000000002</v>
      </c>
      <c r="H388" s="20">
        <v>0.26400000000000001</v>
      </c>
      <c r="I388" s="21">
        <f>ROUND((G388*(1+H388)),2)</f>
        <v>55.35</v>
      </c>
      <c r="J388" s="62">
        <f>ROUND((I388*F388),2)</f>
        <v>3555.68</v>
      </c>
    </row>
    <row r="389" spans="1:11" ht="25.5" x14ac:dyDescent="0.2">
      <c r="A389" s="16" t="s">
        <v>513</v>
      </c>
      <c r="B389" s="16" t="s">
        <v>22</v>
      </c>
      <c r="C389" s="16">
        <v>104351</v>
      </c>
      <c r="D389" s="17" t="s">
        <v>514</v>
      </c>
      <c r="E389" s="16" t="s">
        <v>174</v>
      </c>
      <c r="F389" s="18">
        <v>4</v>
      </c>
      <c r="G389" s="19">
        <v>20.399999999999999</v>
      </c>
      <c r="H389" s="20">
        <v>0.26400000000000001</v>
      </c>
      <c r="I389" s="21">
        <f>ROUND((G389*(1+H389)),2)</f>
        <v>25.79</v>
      </c>
      <c r="J389" s="62">
        <f>ROUND((I389*F389),2)</f>
        <v>103.16</v>
      </c>
    </row>
    <row r="390" spans="1:11" ht="40.5" customHeight="1" x14ac:dyDescent="0.2">
      <c r="A390" s="16" t="s">
        <v>515</v>
      </c>
      <c r="B390" s="16" t="s">
        <v>91</v>
      </c>
      <c r="C390" s="16" t="str">
        <f>'[4]Composição (2)'!B770</f>
        <v>Q69</v>
      </c>
      <c r="D390" s="17" t="str">
        <f>'[4]Composição (2)'!D770</f>
        <v>(COMPOSIÇÃO REPRESENTATIVA) DO SERVIÇO DE INSTALAÇÃO DE TUBO DE PVC, SÉRIE NORMAL, ESGOTO PREDIAL, DN 100 MM (INSTALADO EM RAMAL DE DESCARGA OU RAMAL DE ESGOTO SANITÁRIO), INCLUSIVE CONEXÕES, CORTES E FIXAÇÕES, PARA PRÉDIOS</v>
      </c>
      <c r="E390" s="16" t="s">
        <v>38</v>
      </c>
      <c r="F390" s="18">
        <f>(0.3*6)+0.9+1.6+0.45+(0.21*3)+2.8+0.3+2.9+2.45+0.5+0.9+0.65+0.25+1.65+1.3+(0.3*4)+(0.9*3)+2.75+0.8+0.45+1.1+0.4+0.7</f>
        <v>29.18</v>
      </c>
      <c r="G390" s="19">
        <v>65.330999999999989</v>
      </c>
      <c r="H390" s="20">
        <v>0.26400000000000001</v>
      </c>
      <c r="I390" s="21">
        <f>ROUND((G390*(1+H390)),2)</f>
        <v>82.58</v>
      </c>
      <c r="J390" s="62">
        <f>ROUND((I390*F390),2)</f>
        <v>2409.6799999999998</v>
      </c>
    </row>
    <row r="391" spans="1:11" ht="25.5" x14ac:dyDescent="0.2">
      <c r="A391" s="16" t="s">
        <v>516</v>
      </c>
      <c r="B391" s="16" t="s">
        <v>91</v>
      </c>
      <c r="C391" s="16" t="str">
        <f>'[4]Composição (2)'!B790</f>
        <v>Q70</v>
      </c>
      <c r="D391" s="17" t="str">
        <f>'[4]Composição (2)'!D790</f>
        <v>CAIXA DE INSPEÇÃO SIFONADA RETANGULAR EM ALVENARIA COM TIJOLOS CERÂMICOS MACIÇOS, DIMENSÕES INTERNAS: 0,6X0,6X0,6 M PARA REDE DE ESGOTO</v>
      </c>
      <c r="E391" s="16" t="s">
        <v>174</v>
      </c>
      <c r="F391" s="18">
        <v>6</v>
      </c>
      <c r="G391" s="19">
        <v>836.79950000000008</v>
      </c>
      <c r="H391" s="20">
        <v>0.26400000000000001</v>
      </c>
      <c r="I391" s="21">
        <f>ROUND((G391*(1+H391)),2)</f>
        <v>1057.71</v>
      </c>
      <c r="J391" s="62">
        <f>ROUND((I391*F391),2)</f>
        <v>6346.26</v>
      </c>
    </row>
    <row r="392" spans="1:11" ht="25.5" x14ac:dyDescent="0.2">
      <c r="A392" s="16" t="s">
        <v>517</v>
      </c>
      <c r="B392" s="16" t="s">
        <v>22</v>
      </c>
      <c r="C392" s="16">
        <v>89709</v>
      </c>
      <c r="D392" s="17" t="s">
        <v>518</v>
      </c>
      <c r="E392" s="16" t="s">
        <v>62</v>
      </c>
      <c r="F392" s="18">
        <v>8</v>
      </c>
      <c r="G392" s="19">
        <v>20.060000000000002</v>
      </c>
      <c r="H392" s="20">
        <v>0.26400000000000001</v>
      </c>
      <c r="I392" s="21">
        <f t="shared" ref="I392:I405" si="91">ROUND((G392*(1+H392)),2)</f>
        <v>25.36</v>
      </c>
      <c r="J392" s="62">
        <f t="shared" ref="J392:J405" si="92">ROUND((I392*F392),2)</f>
        <v>202.88</v>
      </c>
    </row>
    <row r="393" spans="1:11" x14ac:dyDescent="0.2">
      <c r="A393" s="16" t="s">
        <v>519</v>
      </c>
      <c r="B393" s="16" t="s">
        <v>22</v>
      </c>
      <c r="C393" s="16">
        <v>98110</v>
      </c>
      <c r="D393" s="17" t="s">
        <v>520</v>
      </c>
      <c r="E393" s="16" t="s">
        <v>62</v>
      </c>
      <c r="F393" s="18">
        <v>1</v>
      </c>
      <c r="G393" s="19">
        <v>351.36450000000002</v>
      </c>
      <c r="H393" s="20">
        <v>0.26400000000000001</v>
      </c>
      <c r="I393" s="21">
        <f t="shared" si="91"/>
        <v>444.12</v>
      </c>
      <c r="J393" s="62">
        <f t="shared" si="92"/>
        <v>444.12</v>
      </c>
    </row>
    <row r="394" spans="1:11" ht="38.25" customHeight="1" x14ac:dyDescent="0.2">
      <c r="A394" s="16" t="s">
        <v>521</v>
      </c>
      <c r="B394" s="16" t="s">
        <v>91</v>
      </c>
      <c r="C394" s="16" t="str">
        <f>'[4]Composição (2)'!B806</f>
        <v>Q71</v>
      </c>
      <c r="D394" s="17" t="str">
        <f>'[4]Composição (2)'!D806</f>
        <v>(COMPOSIÇÃO REPRESENTATIVA) DO SERVIÇO DE INSTALAÇÃO DE TUBO DE PVC, SÉRIE NORMAL, ESGOTO PREDIAL, DN 150 MM (INSTALADO EM RAMAL DE DESCARGA OU RAMAL DE ESGOTO SANITÁRIO), INCLUSIVE CONEXÕES, CORTES E FIXAÇÕES, PARA PRÉDIOS</v>
      </c>
      <c r="E394" s="16" t="s">
        <v>38</v>
      </c>
      <c r="F394" s="18">
        <v>29</v>
      </c>
      <c r="G394" s="19">
        <v>72.352000000000004</v>
      </c>
      <c r="H394" s="20">
        <v>0.26400000000000001</v>
      </c>
      <c r="I394" s="21">
        <f t="shared" si="91"/>
        <v>91.45</v>
      </c>
      <c r="J394" s="62">
        <f t="shared" si="92"/>
        <v>2652.05</v>
      </c>
    </row>
    <row r="395" spans="1:11" x14ac:dyDescent="0.2">
      <c r="A395" s="16" t="s">
        <v>522</v>
      </c>
      <c r="B395" s="16" t="s">
        <v>22</v>
      </c>
      <c r="C395" s="16">
        <v>89578</v>
      </c>
      <c r="D395" s="17" t="s">
        <v>523</v>
      </c>
      <c r="E395" s="16" t="s">
        <v>38</v>
      </c>
      <c r="F395" s="18">
        <f>4*4</f>
        <v>16</v>
      </c>
      <c r="G395" s="19">
        <v>28.780999999999999</v>
      </c>
      <c r="H395" s="20">
        <v>0.26400000000000001</v>
      </c>
      <c r="I395" s="21">
        <f>ROUND((G395*(1+H395)),2)</f>
        <v>36.380000000000003</v>
      </c>
      <c r="J395" s="62">
        <f>ROUND((I395*F395),2)</f>
        <v>582.08000000000004</v>
      </c>
    </row>
    <row r="396" spans="1:11" x14ac:dyDescent="0.2">
      <c r="A396" s="16" t="s">
        <v>524</v>
      </c>
      <c r="B396" s="16" t="s">
        <v>22</v>
      </c>
      <c r="C396" s="16">
        <v>89512</v>
      </c>
      <c r="D396" s="17" t="s">
        <v>525</v>
      </c>
      <c r="E396" s="16" t="s">
        <v>38</v>
      </c>
      <c r="F396" s="18">
        <f>28+23+2</f>
        <v>53</v>
      </c>
      <c r="G396" s="19">
        <v>45.457999999999998</v>
      </c>
      <c r="H396" s="20">
        <v>0.26400000000000001</v>
      </c>
      <c r="I396" s="21">
        <f>ROUND((G396*(1+H396)),2)</f>
        <v>57.46</v>
      </c>
      <c r="J396" s="62">
        <f>ROUND((I396*F396),2)</f>
        <v>3045.38</v>
      </c>
    </row>
    <row r="397" spans="1:11" ht="38.25" x14ac:dyDescent="0.2">
      <c r="A397" s="16" t="s">
        <v>526</v>
      </c>
      <c r="B397" s="16" t="s">
        <v>22</v>
      </c>
      <c r="C397" s="16">
        <v>91175</v>
      </c>
      <c r="D397" s="17" t="s">
        <v>527</v>
      </c>
      <c r="E397" s="16" t="s">
        <v>38</v>
      </c>
      <c r="F397" s="18">
        <f>F395</f>
        <v>16</v>
      </c>
      <c r="G397" s="19">
        <v>8.4320000000000004</v>
      </c>
      <c r="H397" s="20">
        <v>0.26400000000000001</v>
      </c>
      <c r="I397" s="21">
        <f>ROUND((G397*(1+H397)),2)</f>
        <v>10.66</v>
      </c>
      <c r="J397" s="62">
        <f>ROUND((I397*F397),2)</f>
        <v>170.56</v>
      </c>
    </row>
    <row r="398" spans="1:11" ht="25.5" x14ac:dyDescent="0.2">
      <c r="A398" s="16" t="s">
        <v>528</v>
      </c>
      <c r="B398" s="16" t="s">
        <v>22</v>
      </c>
      <c r="C398" s="16">
        <v>90694</v>
      </c>
      <c r="D398" s="17" t="s">
        <v>529</v>
      </c>
      <c r="E398" s="16" t="s">
        <v>38</v>
      </c>
      <c r="F398" s="18">
        <f>1+10.2+0.7+2.6+2.85+0.91</f>
        <v>18.259999999999998</v>
      </c>
      <c r="G398" s="19">
        <v>39.261499999999998</v>
      </c>
      <c r="H398" s="20">
        <v>0.26400000000000001</v>
      </c>
      <c r="I398" s="21">
        <f t="shared" ref="I398:I399" si="93">ROUND((G398*(1+H398)),2)</f>
        <v>49.63</v>
      </c>
      <c r="J398" s="62">
        <f t="shared" ref="J398:J399" si="94">ROUND((I398*F398),2)</f>
        <v>906.24</v>
      </c>
    </row>
    <row r="399" spans="1:11" ht="25.5" x14ac:dyDescent="0.2">
      <c r="A399" s="16" t="s">
        <v>530</v>
      </c>
      <c r="B399" s="16" t="s">
        <v>22</v>
      </c>
      <c r="C399" s="16">
        <v>90695</v>
      </c>
      <c r="D399" s="17" t="s">
        <v>531</v>
      </c>
      <c r="E399" s="16" t="s">
        <v>38</v>
      </c>
      <c r="F399" s="18">
        <f>2+1.4+1.5+0.5+2.6+3.25+1.7+11.7+23.7+1.9+2.1</f>
        <v>52.349999999999994</v>
      </c>
      <c r="G399" s="19">
        <v>74.561999999999998</v>
      </c>
      <c r="H399" s="20">
        <v>0.26400000000000001</v>
      </c>
      <c r="I399" s="21">
        <f t="shared" si="93"/>
        <v>94.25</v>
      </c>
      <c r="J399" s="62">
        <f t="shared" si="94"/>
        <v>4933.99</v>
      </c>
    </row>
    <row r="400" spans="1:11" ht="25.5" x14ac:dyDescent="0.2">
      <c r="A400" s="16" t="s">
        <v>532</v>
      </c>
      <c r="B400" s="16" t="s">
        <v>91</v>
      </c>
      <c r="C400" s="16" t="str">
        <f>'[4]Composição (2)'!B812</f>
        <v>Q72</v>
      </c>
      <c r="D400" s="17" t="str">
        <f>'[4]Composição (2)'!D812</f>
        <v>TANQUE SÉPTICO RETANGULAR, EM ALVENARIA COM BLOCOS DE CONCRETO ESTRUTURAL ARMADA COM LAJES, DIMENSÕES INTERNAS: 2,5 X 5,0 X H=1,5 M, INCLUSO ESCAVAÇÃO. FORNECIMENTO E INSTALAÇÃO</v>
      </c>
      <c r="E400" s="16" t="s">
        <v>174</v>
      </c>
      <c r="F400" s="18">
        <v>1</v>
      </c>
      <c r="G400" s="19">
        <v>13068.052999999996</v>
      </c>
      <c r="H400" s="20">
        <v>0.26400000000000001</v>
      </c>
      <c r="I400" s="21">
        <f t="shared" si="91"/>
        <v>16518.02</v>
      </c>
      <c r="J400" s="62">
        <f t="shared" si="92"/>
        <v>16518.02</v>
      </c>
    </row>
    <row r="401" spans="1:11" ht="25.5" x14ac:dyDescent="0.2">
      <c r="A401" s="16" t="s">
        <v>533</v>
      </c>
      <c r="B401" s="16" t="s">
        <v>22</v>
      </c>
      <c r="C401" s="16">
        <v>98093</v>
      </c>
      <c r="D401" s="17" t="s">
        <v>534</v>
      </c>
      <c r="E401" s="16" t="s">
        <v>62</v>
      </c>
      <c r="F401" s="18">
        <v>1</v>
      </c>
      <c r="G401" s="19">
        <v>13935.2485</v>
      </c>
      <c r="H401" s="20">
        <v>0.26400000000000001</v>
      </c>
      <c r="I401" s="21">
        <f t="shared" si="91"/>
        <v>17614.150000000001</v>
      </c>
      <c r="J401" s="62">
        <f t="shared" si="92"/>
        <v>17614.150000000001</v>
      </c>
    </row>
    <row r="402" spans="1:11" ht="25.5" x14ac:dyDescent="0.2">
      <c r="A402" s="16" t="s">
        <v>535</v>
      </c>
      <c r="B402" s="16" t="s">
        <v>22</v>
      </c>
      <c r="C402" s="16">
        <v>101807</v>
      </c>
      <c r="D402" s="17" t="s">
        <v>536</v>
      </c>
      <c r="E402" s="16" t="s">
        <v>174</v>
      </c>
      <c r="F402" s="18">
        <v>1</v>
      </c>
      <c r="G402" s="19">
        <v>511.03700000000003</v>
      </c>
      <c r="H402" s="20">
        <v>0.26400000000000001</v>
      </c>
      <c r="I402" s="21">
        <f t="shared" si="91"/>
        <v>645.95000000000005</v>
      </c>
      <c r="J402" s="62">
        <f t="shared" si="92"/>
        <v>645.95000000000005</v>
      </c>
    </row>
    <row r="403" spans="1:11" ht="25.5" x14ac:dyDescent="0.2">
      <c r="A403" s="16" t="s">
        <v>537</v>
      </c>
      <c r="B403" s="16" t="s">
        <v>91</v>
      </c>
      <c r="C403" s="16" t="str">
        <f>'[4]Composição (2)'!B846</f>
        <v>Q74</v>
      </c>
      <c r="D403" s="17" t="str">
        <f>'[4]Composição (2)'!D846</f>
        <v>SUMIDOURO RETANGULAR, EM ALVENARIA COM BLOCOS DE CONCRETO, DIMENSÕES INTERNAS: 4,50 X 4,50 X H=2,50 M, INCLUSO ESCAVAÇÃO, FORNECIMENTO E INSTALAÇÃO</v>
      </c>
      <c r="E403" s="16" t="s">
        <v>174</v>
      </c>
      <c r="F403" s="18">
        <v>3</v>
      </c>
      <c r="G403" s="19">
        <v>12135.348000000002</v>
      </c>
      <c r="H403" s="20">
        <v>0.26400000000000001</v>
      </c>
      <c r="I403" s="21">
        <f t="shared" si="91"/>
        <v>15339.08</v>
      </c>
      <c r="J403" s="62">
        <f t="shared" si="92"/>
        <v>46017.24</v>
      </c>
    </row>
    <row r="404" spans="1:11" ht="25.5" x14ac:dyDescent="0.2">
      <c r="A404" s="16" t="s">
        <v>538</v>
      </c>
      <c r="B404" s="16" t="s">
        <v>22</v>
      </c>
      <c r="C404" s="16">
        <v>100576</v>
      </c>
      <c r="D404" s="17" t="s">
        <v>539</v>
      </c>
      <c r="E404" s="16" t="s">
        <v>24</v>
      </c>
      <c r="F404" s="18">
        <f>12.5+10.5+(20.25*3)</f>
        <v>83.75</v>
      </c>
      <c r="G404" s="19">
        <v>2.6350000000000002</v>
      </c>
      <c r="H404" s="20">
        <v>0.26400000000000001</v>
      </c>
      <c r="I404" s="21">
        <f t="shared" si="91"/>
        <v>3.33</v>
      </c>
      <c r="J404" s="62">
        <f t="shared" si="92"/>
        <v>278.89</v>
      </c>
    </row>
    <row r="405" spans="1:11" ht="25.5" x14ac:dyDescent="0.2">
      <c r="A405" s="16" t="s">
        <v>540</v>
      </c>
      <c r="B405" s="16" t="s">
        <v>22</v>
      </c>
      <c r="C405" s="16">
        <v>97084</v>
      </c>
      <c r="D405" s="17" t="s">
        <v>210</v>
      </c>
      <c r="E405" s="16" t="s">
        <v>24</v>
      </c>
      <c r="F405" s="18">
        <f>F408</f>
        <v>83.75</v>
      </c>
      <c r="G405" s="19">
        <v>0.69699999999999995</v>
      </c>
      <c r="H405" s="20">
        <v>0.26400000000000001</v>
      </c>
      <c r="I405" s="21">
        <f t="shared" si="91"/>
        <v>0.88</v>
      </c>
      <c r="J405" s="62">
        <f t="shared" si="92"/>
        <v>73.7</v>
      </c>
    </row>
    <row r="406" spans="1:11" x14ac:dyDescent="0.2">
      <c r="A406" s="16" t="s">
        <v>541</v>
      </c>
      <c r="B406" s="16" t="s">
        <v>22</v>
      </c>
      <c r="C406" s="16">
        <v>95240</v>
      </c>
      <c r="D406" s="17" t="s">
        <v>542</v>
      </c>
      <c r="E406" s="16" t="s">
        <v>24</v>
      </c>
      <c r="F406" s="18">
        <f>F408+12.5+10.5</f>
        <v>106.75</v>
      </c>
      <c r="G406" s="19">
        <v>19.5075</v>
      </c>
      <c r="H406" s="20">
        <v>0.26400000000000001</v>
      </c>
      <c r="I406" s="21">
        <f>ROUND((G406*(1+H406)),2)</f>
        <v>24.66</v>
      </c>
      <c r="J406" s="62">
        <f>ROUND((I406*F406),2)</f>
        <v>2632.46</v>
      </c>
    </row>
    <row r="407" spans="1:11" x14ac:dyDescent="0.2">
      <c r="A407" s="16" t="s">
        <v>543</v>
      </c>
      <c r="B407" s="16" t="s">
        <v>22</v>
      </c>
      <c r="C407" s="16">
        <v>97087</v>
      </c>
      <c r="D407" s="17" t="s">
        <v>544</v>
      </c>
      <c r="E407" s="16" t="s">
        <v>24</v>
      </c>
      <c r="F407" s="18">
        <f>F408*1.1</f>
        <v>92.125000000000014</v>
      </c>
      <c r="G407" s="19">
        <v>2.448</v>
      </c>
      <c r="H407" s="20">
        <v>0.26400000000000001</v>
      </c>
      <c r="I407" s="21">
        <f t="shared" ref="I407:I408" si="95">ROUND((G407*(1+H407)),2)</f>
        <v>3.09</v>
      </c>
      <c r="J407" s="62">
        <f t="shared" ref="J407:J408" si="96">ROUND((I407*F407),2)</f>
        <v>284.67</v>
      </c>
    </row>
    <row r="408" spans="1:11" x14ac:dyDescent="0.2">
      <c r="A408" s="16" t="s">
        <v>545</v>
      </c>
      <c r="B408" s="16" t="s">
        <v>22</v>
      </c>
      <c r="C408" s="16">
        <v>97102</v>
      </c>
      <c r="D408" s="17" t="s">
        <v>546</v>
      </c>
      <c r="E408" s="16" t="s">
        <v>24</v>
      </c>
      <c r="F408" s="18">
        <f>12.5+10.5+(20.25*3)</f>
        <v>83.75</v>
      </c>
      <c r="G408" s="19">
        <v>207.85899999999998</v>
      </c>
      <c r="H408" s="20">
        <v>0.26400000000000001</v>
      </c>
      <c r="I408" s="21">
        <f t="shared" si="95"/>
        <v>262.73</v>
      </c>
      <c r="J408" s="62">
        <f t="shared" si="96"/>
        <v>22003.64</v>
      </c>
    </row>
    <row r="409" spans="1:11" x14ac:dyDescent="0.2">
      <c r="A409" s="25"/>
      <c r="B409" s="25"/>
      <c r="C409" s="25"/>
      <c r="D409" s="25" t="s">
        <v>108</v>
      </c>
      <c r="E409" s="25"/>
      <c r="F409" s="25"/>
      <c r="G409" s="25"/>
      <c r="H409" s="25"/>
      <c r="I409" s="25"/>
      <c r="J409" s="61">
        <f>SUM(J387:J408)</f>
        <v>134352</v>
      </c>
    </row>
    <row r="410" spans="1:11" s="24" customFormat="1" x14ac:dyDescent="0.2">
      <c r="A410" s="25" t="s">
        <v>547</v>
      </c>
      <c r="B410" s="25"/>
      <c r="C410" s="25"/>
      <c r="D410" s="26" t="s">
        <v>110</v>
      </c>
      <c r="E410" s="25"/>
      <c r="F410" s="27"/>
      <c r="G410" s="28"/>
      <c r="H410" s="25"/>
      <c r="I410" s="25"/>
      <c r="J410" s="61"/>
      <c r="K410" s="23"/>
    </row>
    <row r="411" spans="1:11" ht="25.5" x14ac:dyDescent="0.2">
      <c r="A411" s="16" t="s">
        <v>548</v>
      </c>
      <c r="B411" s="16" t="s">
        <v>91</v>
      </c>
      <c r="C411" s="16" t="str">
        <f>'[4]Composição (2)'!B740</f>
        <v>Q67</v>
      </c>
      <c r="D411" s="17" t="str">
        <f>'[4]Composição (2)'!D740</f>
        <v>(COMPOSIÇÃO REPRESENTATIVA) DO SERVIÇO DE INSTALAÇÃO DE TUBO DE PVC, SÉRIE NORMAL, ESGOTO PREDIAL, DN 50 MM (INSTALADO EM RAMAL DE DESCARGA OU RAMAL DE ESGOTO SANITÁRIO), INCLUSIVE CONEXÕES, CORTES E FIXAÇÕES, PARA PRÉDIOS</v>
      </c>
      <c r="E411" s="16" t="s">
        <v>38</v>
      </c>
      <c r="F411" s="18">
        <f>(0.5+0.6+(6*0.5)+0.25+1+1.75+0.3+1.1+1.8+3.1+3.2+(0.5*3)+1+1+0.65+0.5+2.55+(7*0.5)+0.25+0.95+1.65+2.6+2.05+0.3+1+1.7+2.15+3.65+0.2+(0.5*2)+0.3+0.45)*1.1</f>
        <v>50.105000000000004</v>
      </c>
      <c r="G411" s="19">
        <v>44.276499999999992</v>
      </c>
      <c r="H411" s="20">
        <v>0.26400000000000001</v>
      </c>
      <c r="I411" s="21">
        <f>ROUND((G411*(1+H411)),2)</f>
        <v>55.97</v>
      </c>
      <c r="J411" s="62">
        <f>ROUND((I411*F411),2)</f>
        <v>2804.38</v>
      </c>
    </row>
    <row r="412" spans="1:11" ht="40.5" customHeight="1" x14ac:dyDescent="0.2">
      <c r="A412" s="16" t="s">
        <v>549</v>
      </c>
      <c r="B412" s="16" t="s">
        <v>91</v>
      </c>
      <c r="C412" s="16" t="str">
        <f>'[4]Composição (2)'!B753</f>
        <v>Q68</v>
      </c>
      <c r="D412" s="17" t="str">
        <f>'[4]Composição (2)'!D753</f>
        <v xml:space="preserve">(COMPOSIÇÃO REPRESENTATIVA) DO SERVIÇO DE INST. TUBO PVC, SÉRIE N, ESGOTO PREDIAL, DN 75 MM, (INST. EM RAMAL DE DESCARGA, RAMAL DE ESG. SANITÁRIO, PRUMADA DE ESG. SANITÁRIO OU VENTILAÇÃO), INCL. CONEXÕES, CORTES E FIXAÇÕES, P/ PRÉDIOS. </v>
      </c>
      <c r="E412" s="16" t="s">
        <v>38</v>
      </c>
      <c r="F412" s="18">
        <f>1.1+7.55+1+0.65+0.4+0.2+0.9+0.8+0.6+0.55+0.6+3.1+0.55+4.25+(5*0.5)+0.85+0.4+0.25+1.2+2.1+0.45+1.4+2.3+3.2+2.55+3.8+3.4+3.4+0.4+0.6+2.4+1.15+5.1+1.4+0.7+1+0.35+0.45+2.1+0.6+0.45+0.7+0.3+(7*8)</f>
        <v>123.75</v>
      </c>
      <c r="G412" s="19">
        <v>43.792000000000002</v>
      </c>
      <c r="H412" s="20">
        <v>0.26400000000000001</v>
      </c>
      <c r="I412" s="21">
        <f>ROUND((G412*(1+H412)),2)</f>
        <v>55.35</v>
      </c>
      <c r="J412" s="62">
        <f>ROUND((I412*F412),2)</f>
        <v>6849.56</v>
      </c>
    </row>
    <row r="413" spans="1:11" ht="25.5" x14ac:dyDescent="0.2">
      <c r="A413" s="16" t="s">
        <v>550</v>
      </c>
      <c r="B413" s="16" t="s">
        <v>22</v>
      </c>
      <c r="C413" s="16">
        <v>104351</v>
      </c>
      <c r="D413" s="17" t="s">
        <v>514</v>
      </c>
      <c r="E413" s="16" t="s">
        <v>174</v>
      </c>
      <c r="F413" s="18">
        <v>8</v>
      </c>
      <c r="G413" s="19">
        <v>20.399999999999999</v>
      </c>
      <c r="H413" s="20">
        <v>0.26400000000000001</v>
      </c>
      <c r="I413" s="21">
        <f>ROUND((G413*(1+H413)),2)</f>
        <v>25.79</v>
      </c>
      <c r="J413" s="62">
        <f>ROUND((I413*F413),2)</f>
        <v>206.32</v>
      </c>
    </row>
    <row r="414" spans="1:11" ht="38.25" customHeight="1" x14ac:dyDescent="0.2">
      <c r="A414" s="16" t="s">
        <v>551</v>
      </c>
      <c r="B414" s="16" t="s">
        <v>91</v>
      </c>
      <c r="C414" s="16" t="str">
        <f>'[4]Composição (2)'!B770</f>
        <v>Q69</v>
      </c>
      <c r="D414" s="17" t="str">
        <f>'[4]Composição (2)'!D770</f>
        <v>(COMPOSIÇÃO REPRESENTATIVA) DO SERVIÇO DE INSTALAÇÃO DE TUBO DE PVC, SÉRIE NORMAL, ESGOTO PREDIAL, DN 100 MM (INSTALADO EM RAMAL DE DESCARGA OU RAMAL DE ESGOTO SANITÁRIO), INCLUSIVE CONEXÕES, CORTES E FIXAÇÕES, PARA PRÉDIOS</v>
      </c>
      <c r="E414" s="16" t="s">
        <v>38</v>
      </c>
      <c r="F414" s="18">
        <f>(7.85+(0.5*6)+1.7+0.4+2.2+0.4+(0.5*6)+0.7+0.5+1.1+1.3+0.4+1)*1.1</f>
        <v>25.904999999999998</v>
      </c>
      <c r="G414" s="19">
        <v>65.330999999999989</v>
      </c>
      <c r="H414" s="20">
        <v>0.26400000000000001</v>
      </c>
      <c r="I414" s="21">
        <f>ROUND((G414*(1+H414)),2)</f>
        <v>82.58</v>
      </c>
      <c r="J414" s="62">
        <f>ROUND((I414*F414),2)</f>
        <v>2139.23</v>
      </c>
    </row>
    <row r="415" spans="1:11" ht="25.5" x14ac:dyDescent="0.2">
      <c r="A415" s="16" t="s">
        <v>552</v>
      </c>
      <c r="B415" s="16" t="s">
        <v>91</v>
      </c>
      <c r="C415" s="16" t="str">
        <f>'[4]Composição (2)'!B790</f>
        <v>Q70</v>
      </c>
      <c r="D415" s="17" t="str">
        <f>'[4]Composição (2)'!D790</f>
        <v>CAIXA DE INSPEÇÃO SIFONADA RETANGULAR EM ALVENARIA COM TIJOLOS CERÂMICOS MACIÇOS, DIMENSÕES INTERNAS: 0,6X0,6X0,6 M PARA REDE DE ESGOTO</v>
      </c>
      <c r="E415" s="16" t="s">
        <v>38</v>
      </c>
      <c r="F415" s="18">
        <v>5</v>
      </c>
      <c r="G415" s="19">
        <v>14.96</v>
      </c>
      <c r="H415" s="20">
        <v>0.26400000000000001</v>
      </c>
      <c r="I415" s="21">
        <f>ROUND((G415*(1+H415)),2)</f>
        <v>18.91</v>
      </c>
      <c r="J415" s="62">
        <f>ROUND((I415*F415),2)</f>
        <v>94.55</v>
      </c>
    </row>
    <row r="416" spans="1:11" ht="25.5" x14ac:dyDescent="0.2">
      <c r="A416" s="16" t="s">
        <v>553</v>
      </c>
      <c r="B416" s="16" t="s">
        <v>22</v>
      </c>
      <c r="C416" s="16">
        <v>89709</v>
      </c>
      <c r="D416" s="17" t="s">
        <v>518</v>
      </c>
      <c r="E416" s="16" t="s">
        <v>62</v>
      </c>
      <c r="F416" s="18">
        <v>25</v>
      </c>
      <c r="G416" s="19">
        <v>20.060000000000002</v>
      </c>
      <c r="H416" s="20">
        <v>0.26400000000000001</v>
      </c>
      <c r="I416" s="21">
        <f t="shared" ref="I416:I417" si="97">ROUND((G416*(1+H416)),2)</f>
        <v>25.36</v>
      </c>
      <c r="J416" s="62">
        <f t="shared" ref="J416:J417" si="98">ROUND((I416*F416),2)</f>
        <v>634</v>
      </c>
    </row>
    <row r="417" spans="1:10" x14ac:dyDescent="0.2">
      <c r="A417" s="16" t="s">
        <v>554</v>
      </c>
      <c r="B417" s="16" t="s">
        <v>22</v>
      </c>
      <c r="C417" s="16">
        <v>98110</v>
      </c>
      <c r="D417" s="17" t="s">
        <v>520</v>
      </c>
      <c r="E417" s="16" t="s">
        <v>62</v>
      </c>
      <c r="F417" s="18">
        <v>1</v>
      </c>
      <c r="G417" s="19">
        <v>351.36450000000002</v>
      </c>
      <c r="H417" s="20">
        <v>0.26400000000000001</v>
      </c>
      <c r="I417" s="21">
        <f t="shared" si="97"/>
        <v>444.12</v>
      </c>
      <c r="J417" s="62">
        <f t="shared" si="98"/>
        <v>444.12</v>
      </c>
    </row>
    <row r="418" spans="1:10" x14ac:dyDescent="0.2">
      <c r="A418" s="16" t="s">
        <v>555</v>
      </c>
      <c r="B418" s="16" t="s">
        <v>22</v>
      </c>
      <c r="C418" s="16">
        <v>89580</v>
      </c>
      <c r="D418" s="17" t="s">
        <v>556</v>
      </c>
      <c r="E418" s="16" t="s">
        <v>38</v>
      </c>
      <c r="F418" s="18">
        <f>5+5+3.8+3.8</f>
        <v>17.600000000000001</v>
      </c>
      <c r="G418" s="19">
        <v>59.296000000000006</v>
      </c>
      <c r="H418" s="20">
        <v>0.26400000000000001</v>
      </c>
      <c r="I418" s="21">
        <f>ROUND((G418*(1+H418)),2)</f>
        <v>74.95</v>
      </c>
      <c r="J418" s="62">
        <f>ROUND((I418*F418),2)</f>
        <v>1319.12</v>
      </c>
    </row>
    <row r="419" spans="1:10" x14ac:dyDescent="0.2">
      <c r="A419" s="16" t="s">
        <v>557</v>
      </c>
      <c r="B419" s="16" t="s">
        <v>22</v>
      </c>
      <c r="C419" s="16">
        <v>104166</v>
      </c>
      <c r="D419" s="17" t="s">
        <v>558</v>
      </c>
      <c r="E419" s="16" t="s">
        <v>38</v>
      </c>
      <c r="F419" s="18">
        <f>1+4.2+20.5</f>
        <v>25.7</v>
      </c>
      <c r="G419" s="19">
        <v>65.441499999999991</v>
      </c>
      <c r="H419" s="20">
        <v>0.26400000000000001</v>
      </c>
      <c r="I419" s="21">
        <f>ROUND((G419*(1+H419)),2)</f>
        <v>82.72</v>
      </c>
      <c r="J419" s="62">
        <f>ROUND((I419*F419),2)</f>
        <v>2125.9</v>
      </c>
    </row>
    <row r="420" spans="1:10" ht="38.25" x14ac:dyDescent="0.2">
      <c r="A420" s="16" t="s">
        <v>559</v>
      </c>
      <c r="B420" s="16" t="s">
        <v>91</v>
      </c>
      <c r="C420" s="16" t="str">
        <f>'[4]Composição (2)'!B865</f>
        <v>Q76</v>
      </c>
      <c r="D420" s="17" t="str">
        <f>'[4]Composição (2)'!D865</f>
        <v>FIXAÇÃO DE TUBOS HORIZONTAIS DE PVC ÁGUA/PVC ESGOTO/PVC PLUVIAL/CPVC/PPR/COBRE OU AÇO, DIÂMETROS MAIORES QUE 100 MM E MENORES OU IGUAIS A 150 MM, COM ABRAÇADEIRA TIPO D COM PARAFUSO DE FIXAÇÃO 4", FIXADA DIRETAMENTE NA LAJE OU PAREDE. AF_09/2023</v>
      </c>
      <c r="E420" s="16" t="s">
        <v>38</v>
      </c>
      <c r="F420" s="18">
        <f>F418+3.4+3.4</f>
        <v>24.4</v>
      </c>
      <c r="G420" s="19">
        <v>22.924499999999998</v>
      </c>
      <c r="H420" s="20">
        <v>0.26400000000000001</v>
      </c>
      <c r="I420" s="21">
        <f>ROUND((G420*(1+H420)),2)</f>
        <v>28.98</v>
      </c>
      <c r="J420" s="62">
        <f>ROUND((I420*F420),2)</f>
        <v>707.11</v>
      </c>
    </row>
    <row r="421" spans="1:10" ht="25.5" x14ac:dyDescent="0.2">
      <c r="A421" s="16" t="s">
        <v>560</v>
      </c>
      <c r="B421" s="16" t="s">
        <v>22</v>
      </c>
      <c r="C421" s="16">
        <v>90694</v>
      </c>
      <c r="D421" s="17" t="s">
        <v>529</v>
      </c>
      <c r="E421" s="16" t="s">
        <v>38</v>
      </c>
      <c r="F421" s="18">
        <f>0.5+2.05+2.4+8.8+4+2+1.6+0.8+2.05+1+2+3.6+1.25+1</f>
        <v>33.050000000000004</v>
      </c>
      <c r="G421" s="19">
        <v>39.261499999999998</v>
      </c>
      <c r="H421" s="20">
        <v>0.26400000000000001</v>
      </c>
      <c r="I421" s="21">
        <f>ROUND((G421*(1+H421)),2)</f>
        <v>49.63</v>
      </c>
      <c r="J421" s="62">
        <f>ROUND((I421*F421),2)</f>
        <v>1640.27</v>
      </c>
    </row>
    <row r="422" spans="1:10" ht="25.5" x14ac:dyDescent="0.2">
      <c r="A422" s="16" t="s">
        <v>561</v>
      </c>
      <c r="B422" s="16" t="s">
        <v>22</v>
      </c>
      <c r="C422" s="16">
        <v>98084</v>
      </c>
      <c r="D422" s="17" t="s">
        <v>562</v>
      </c>
      <c r="E422" s="16" t="s">
        <v>62</v>
      </c>
      <c r="F422" s="18">
        <v>1</v>
      </c>
      <c r="G422" s="19">
        <v>6738.3920000000007</v>
      </c>
      <c r="H422" s="20">
        <v>0.26400000000000001</v>
      </c>
      <c r="I422" s="21">
        <f t="shared" ref="I422:I430" si="99">ROUND((G422*(1+H422)),2)</f>
        <v>8517.33</v>
      </c>
      <c r="J422" s="62">
        <f t="shared" ref="J422:J430" si="100">ROUND((I422*F422),2)</f>
        <v>8517.33</v>
      </c>
    </row>
    <row r="423" spans="1:10" x14ac:dyDescent="0.2">
      <c r="A423" s="16" t="s">
        <v>563</v>
      </c>
      <c r="B423" s="16" t="s">
        <v>91</v>
      </c>
      <c r="C423" s="16" t="str">
        <f>'[4]Composição (2)'!B870</f>
        <v>Q77</v>
      </c>
      <c r="D423" s="17" t="str">
        <f>'[4]Composição (2)'!D870</f>
        <v>FILTRO ANAERÓBIO RETANGULAR, EM ALVENARIA COM BLOCOS DE CONCRETO, DIMENSÕES INTERNAS: 1,5 X 2,0 X H=1,50 M.</v>
      </c>
      <c r="E423" s="16" t="s">
        <v>62</v>
      </c>
      <c r="F423" s="18">
        <v>1</v>
      </c>
      <c r="G423" s="19">
        <v>3314.0140000000001</v>
      </c>
      <c r="H423" s="20">
        <v>0.26400000000000001</v>
      </c>
      <c r="I423" s="21">
        <f t="shared" si="99"/>
        <v>4188.91</v>
      </c>
      <c r="J423" s="62">
        <f t="shared" si="100"/>
        <v>4188.91</v>
      </c>
    </row>
    <row r="424" spans="1:10" ht="25.5" x14ac:dyDescent="0.2">
      <c r="A424" s="16" t="s">
        <v>564</v>
      </c>
      <c r="B424" s="16" t="s">
        <v>22</v>
      </c>
      <c r="C424" s="16">
        <v>101807</v>
      </c>
      <c r="D424" s="17" t="s">
        <v>536</v>
      </c>
      <c r="E424" s="16" t="s">
        <v>174</v>
      </c>
      <c r="F424" s="18">
        <v>1</v>
      </c>
      <c r="G424" s="19">
        <v>511.03700000000003</v>
      </c>
      <c r="H424" s="20">
        <v>0.26400000000000001</v>
      </c>
      <c r="I424" s="21">
        <f t="shared" si="99"/>
        <v>645.95000000000005</v>
      </c>
      <c r="J424" s="62">
        <f t="shared" si="100"/>
        <v>645.95000000000005</v>
      </c>
    </row>
    <row r="425" spans="1:10" ht="25.5" x14ac:dyDescent="0.2">
      <c r="A425" s="16" t="s">
        <v>565</v>
      </c>
      <c r="B425" s="16" t="s">
        <v>91</v>
      </c>
      <c r="C425" s="16" t="str">
        <f>'[4]Composição (2)'!B893</f>
        <v>Q78</v>
      </c>
      <c r="D425" s="17" t="str">
        <f>'[4]Composição (2)'!D893</f>
        <v>SUMIDOURO RETANGULAR, EM ALVENARIA COM BLOCOS DE CONCRETO, DIMENSÕES INTERNAS: 3,0 X 3,5 X H=2,0 M, INCLUSO ESCAVAÇÃO - FORNECIMENTO E INSTALAÇÃO</v>
      </c>
      <c r="E425" s="16" t="s">
        <v>174</v>
      </c>
      <c r="F425" s="18">
        <v>2</v>
      </c>
      <c r="G425" s="19">
        <v>6034.6684999999998</v>
      </c>
      <c r="H425" s="20">
        <v>0.26400000000000001</v>
      </c>
      <c r="I425" s="21">
        <f t="shared" si="99"/>
        <v>7627.82</v>
      </c>
      <c r="J425" s="62">
        <f t="shared" si="100"/>
        <v>15255.64</v>
      </c>
    </row>
    <row r="426" spans="1:10" ht="25.5" x14ac:dyDescent="0.2">
      <c r="A426" s="16" t="s">
        <v>566</v>
      </c>
      <c r="B426" s="16" t="s">
        <v>22</v>
      </c>
      <c r="C426" s="16">
        <v>100576</v>
      </c>
      <c r="D426" s="17" t="s">
        <v>539</v>
      </c>
      <c r="E426" s="16" t="s">
        <v>24</v>
      </c>
      <c r="F426" s="18">
        <f>4.5+3+(10.5*2)</f>
        <v>28.5</v>
      </c>
      <c r="G426" s="19">
        <v>2.6350000000000002</v>
      </c>
      <c r="H426" s="20">
        <v>0.26400000000000001</v>
      </c>
      <c r="I426" s="21">
        <f t="shared" si="99"/>
        <v>3.33</v>
      </c>
      <c r="J426" s="62">
        <f t="shared" si="100"/>
        <v>94.91</v>
      </c>
    </row>
    <row r="427" spans="1:10" ht="25.5" x14ac:dyDescent="0.2">
      <c r="A427" s="16" t="s">
        <v>567</v>
      </c>
      <c r="B427" s="16" t="s">
        <v>22</v>
      </c>
      <c r="C427" s="16">
        <v>97084</v>
      </c>
      <c r="D427" s="17" t="s">
        <v>210</v>
      </c>
      <c r="E427" s="16" t="s">
        <v>24</v>
      </c>
      <c r="F427" s="18">
        <f>F426</f>
        <v>28.5</v>
      </c>
      <c r="G427" s="19">
        <v>0.69699999999999995</v>
      </c>
      <c r="H427" s="20">
        <v>0.26400000000000001</v>
      </c>
      <c r="I427" s="21">
        <f t="shared" si="99"/>
        <v>0.88</v>
      </c>
      <c r="J427" s="62">
        <f t="shared" si="100"/>
        <v>25.08</v>
      </c>
    </row>
    <row r="428" spans="1:10" x14ac:dyDescent="0.2">
      <c r="A428" s="16" t="s">
        <v>568</v>
      </c>
      <c r="B428" s="16" t="s">
        <v>22</v>
      </c>
      <c r="C428" s="16">
        <v>95240</v>
      </c>
      <c r="D428" s="17" t="s">
        <v>542</v>
      </c>
      <c r="E428" s="16" t="s">
        <v>24</v>
      </c>
      <c r="F428" s="18">
        <f>4.5+3+F426</f>
        <v>36</v>
      </c>
      <c r="G428" s="19">
        <v>19.5075</v>
      </c>
      <c r="H428" s="20">
        <v>0.26400000000000001</v>
      </c>
      <c r="I428" s="21">
        <f>ROUND((G428*(1+H428)),2)</f>
        <v>24.66</v>
      </c>
      <c r="J428" s="62">
        <f>ROUND((I428*F428),2)</f>
        <v>887.76</v>
      </c>
    </row>
    <row r="429" spans="1:10" x14ac:dyDescent="0.2">
      <c r="A429" s="16" t="s">
        <v>569</v>
      </c>
      <c r="B429" s="16" t="s">
        <v>22</v>
      </c>
      <c r="C429" s="16">
        <v>97087</v>
      </c>
      <c r="D429" s="17" t="s">
        <v>544</v>
      </c>
      <c r="E429" s="16" t="s">
        <v>24</v>
      </c>
      <c r="F429" s="18">
        <f>F427*1.1</f>
        <v>31.35</v>
      </c>
      <c r="G429" s="19">
        <v>2.448</v>
      </c>
      <c r="H429" s="20">
        <v>0.26400000000000001</v>
      </c>
      <c r="I429" s="21">
        <f t="shared" si="99"/>
        <v>3.09</v>
      </c>
      <c r="J429" s="62">
        <f t="shared" si="100"/>
        <v>96.87</v>
      </c>
    </row>
    <row r="430" spans="1:10" x14ac:dyDescent="0.2">
      <c r="A430" s="16" t="s">
        <v>570</v>
      </c>
      <c r="B430" s="16" t="s">
        <v>22</v>
      </c>
      <c r="C430" s="16">
        <v>97102</v>
      </c>
      <c r="D430" s="17" t="s">
        <v>546</v>
      </c>
      <c r="E430" s="16" t="s">
        <v>24</v>
      </c>
      <c r="F430" s="18">
        <f>F426</f>
        <v>28.5</v>
      </c>
      <c r="G430" s="19">
        <v>207.85899999999998</v>
      </c>
      <c r="H430" s="20">
        <v>0.26400000000000001</v>
      </c>
      <c r="I430" s="21">
        <f t="shared" si="99"/>
        <v>262.73</v>
      </c>
      <c r="J430" s="62">
        <f t="shared" si="100"/>
        <v>7487.81</v>
      </c>
    </row>
    <row r="431" spans="1:10" x14ac:dyDescent="0.2">
      <c r="A431" s="25"/>
      <c r="B431" s="25"/>
      <c r="C431" s="25"/>
      <c r="D431" s="25" t="s">
        <v>108</v>
      </c>
      <c r="E431" s="25"/>
      <c r="F431" s="25"/>
      <c r="G431" s="25"/>
      <c r="H431" s="25"/>
      <c r="I431" s="25"/>
      <c r="J431" s="61">
        <f>SUM(J411:J430)</f>
        <v>56164.820000000007</v>
      </c>
    </row>
    <row r="432" spans="1:10" ht="13.5" customHeight="1" x14ac:dyDescent="0.2">
      <c r="A432" s="144" t="s">
        <v>43</v>
      </c>
      <c r="B432" s="145"/>
      <c r="C432" s="145"/>
      <c r="D432" s="145"/>
      <c r="E432" s="145"/>
      <c r="F432" s="145"/>
      <c r="G432" s="145"/>
      <c r="H432" s="145"/>
      <c r="I432" s="146"/>
      <c r="J432" s="60">
        <f>SUM(J409,J431)</f>
        <v>190516.82</v>
      </c>
    </row>
    <row r="433" spans="1:11" s="24" customFormat="1" x14ac:dyDescent="0.2">
      <c r="A433" s="12">
        <v>12</v>
      </c>
      <c r="B433" s="12"/>
      <c r="C433" s="12"/>
      <c r="D433" s="13" t="s">
        <v>571</v>
      </c>
      <c r="E433" s="12"/>
      <c r="F433" s="14"/>
      <c r="G433" s="15"/>
      <c r="H433" s="12"/>
      <c r="I433" s="12"/>
      <c r="J433" s="60"/>
      <c r="K433" s="23"/>
    </row>
    <row r="434" spans="1:11" ht="29.25" customHeight="1" x14ac:dyDescent="0.2">
      <c r="A434" s="16" t="s">
        <v>572</v>
      </c>
      <c r="B434" s="16" t="s">
        <v>91</v>
      </c>
      <c r="C434" s="16" t="str">
        <f>'[4]Composição (2)'!B913</f>
        <v>Q80</v>
      </c>
      <c r="D434" s="33" t="str">
        <f>'[4]Composição (2)'!D913</f>
        <v>PISO PODOTÁTIL, DIRECIONAL OU ALERTA, SOLIDARIZADO AO PISO EXISTENTE (ELEMENTOS DISCRETOS) COM PARAFUSO. AF_02/2026</v>
      </c>
      <c r="E434" s="16" t="s">
        <v>24</v>
      </c>
      <c r="F434" s="18">
        <v>46.59</v>
      </c>
      <c r="G434" s="19">
        <v>134.10449999999997</v>
      </c>
      <c r="H434" s="20">
        <v>0.26400000000000001</v>
      </c>
      <c r="I434" s="21">
        <f>ROUND((G434*(1+H434)),2)</f>
        <v>169.51</v>
      </c>
      <c r="J434" s="62">
        <f>ROUND((I434*F434),2)</f>
        <v>7897.47</v>
      </c>
    </row>
    <row r="435" spans="1:11" x14ac:dyDescent="0.2">
      <c r="A435" s="16" t="s">
        <v>573</v>
      </c>
      <c r="B435" s="16" t="s">
        <v>173</v>
      </c>
      <c r="C435" s="16">
        <v>10</v>
      </c>
      <c r="D435" s="33" t="str">
        <f>[4]Cotação!C93</f>
        <v>PLAQUETA TÁTIL DE ALUMINIO COM MARCAÇÃO EM BRAILE, 10X3CM -  SINALIZAÇÃO NO CORRIMÃO</v>
      </c>
      <c r="E435" s="16" t="s">
        <v>174</v>
      </c>
      <c r="F435" s="18">
        <v>20</v>
      </c>
      <c r="G435" s="19">
        <v>25.032499999999999</v>
      </c>
      <c r="H435" s="20">
        <v>0.26400000000000001</v>
      </c>
      <c r="I435" s="21">
        <f>ROUND((G435*(1+H435)),2)</f>
        <v>31.64</v>
      </c>
      <c r="J435" s="62">
        <f>ROUND((I435*F435),2)</f>
        <v>632.79999999999995</v>
      </c>
    </row>
    <row r="436" spans="1:11" x14ac:dyDescent="0.2">
      <c r="A436" s="16" t="s">
        <v>574</v>
      </c>
      <c r="B436" s="16" t="s">
        <v>173</v>
      </c>
      <c r="C436" s="29">
        <v>11</v>
      </c>
      <c r="D436" s="30" t="str">
        <f>[4]Cotação!C100</f>
        <v>ALARME AUDIOVISUAL SIRENE DE EMERGÊNCIA PARA SANITÁRIO PCD</v>
      </c>
      <c r="E436" s="16" t="s">
        <v>174</v>
      </c>
      <c r="F436" s="31">
        <v>8</v>
      </c>
      <c r="G436" s="19">
        <v>79.333333333333329</v>
      </c>
      <c r="H436" s="20">
        <v>0.26400000000000001</v>
      </c>
      <c r="I436" s="21">
        <f t="shared" ref="I436:I441" si="101">ROUND((G436*(1+H436)),2)</f>
        <v>100.28</v>
      </c>
      <c r="J436" s="62">
        <f t="shared" ref="J436:J441" si="102">ROUND((I436*F436),2)</f>
        <v>802.24</v>
      </c>
    </row>
    <row r="437" spans="1:11" x14ac:dyDescent="0.2">
      <c r="A437" s="16" t="s">
        <v>575</v>
      </c>
      <c r="B437" s="16" t="s">
        <v>173</v>
      </c>
      <c r="C437" s="29">
        <v>12</v>
      </c>
      <c r="D437" s="30" t="str">
        <f>[4]Cotação!C108</f>
        <v>PLAQUETA ACRÍLICA, DE IDENTIFICAÇÃO EM BRAILE, PARA AMBIENTES COMUNS DE 3 OU 4 PALAVRAS</v>
      </c>
      <c r="E437" s="16" t="s">
        <v>174</v>
      </c>
      <c r="F437" s="31">
        <v>28</v>
      </c>
      <c r="G437" s="19">
        <v>76.443333333333342</v>
      </c>
      <c r="H437" s="20">
        <v>0.26400000000000001</v>
      </c>
      <c r="I437" s="21">
        <f t="shared" si="101"/>
        <v>96.62</v>
      </c>
      <c r="J437" s="62">
        <f t="shared" si="102"/>
        <v>2705.36</v>
      </c>
    </row>
    <row r="438" spans="1:11" x14ac:dyDescent="0.2">
      <c r="A438" s="16" t="s">
        <v>576</v>
      </c>
      <c r="B438" s="16" t="s">
        <v>173</v>
      </c>
      <c r="C438" s="29">
        <v>13</v>
      </c>
      <c r="D438" s="30" t="str">
        <f>[4]Cotação!C116</f>
        <v>PLACA DE IDENTIFICAÇÃO DE SANITÁRIO COM SIMBOLO DE DESENHO UNIVERSAL – 1 SANITÁRIO FEM/MASC ACESSIVEL</v>
      </c>
      <c r="E438" s="16" t="s">
        <v>174</v>
      </c>
      <c r="F438" s="31">
        <v>8</v>
      </c>
      <c r="G438" s="19">
        <v>118.9575</v>
      </c>
      <c r="H438" s="20">
        <v>0.26400000000000001</v>
      </c>
      <c r="I438" s="21">
        <f t="shared" si="101"/>
        <v>150.36000000000001</v>
      </c>
      <c r="J438" s="62">
        <f t="shared" si="102"/>
        <v>1202.8800000000001</v>
      </c>
    </row>
    <row r="439" spans="1:11" x14ac:dyDescent="0.2">
      <c r="A439" s="16" t="s">
        <v>577</v>
      </c>
      <c r="B439" s="16" t="s">
        <v>173</v>
      </c>
      <c r="C439" s="29">
        <v>14</v>
      </c>
      <c r="D439" s="30" t="str">
        <f>[4]Cotação!C123</f>
        <v>FAIXA ADESIVA PARA IDENTIFICAÇÃO DE PORTA DE VIDRO</v>
      </c>
      <c r="E439" s="16" t="s">
        <v>38</v>
      </c>
      <c r="F439" s="31">
        <v>3.5</v>
      </c>
      <c r="G439" s="19">
        <v>10.9055</v>
      </c>
      <c r="H439" s="20">
        <v>0.26400000000000001</v>
      </c>
      <c r="I439" s="21">
        <f t="shared" si="101"/>
        <v>13.78</v>
      </c>
      <c r="J439" s="62">
        <f t="shared" si="102"/>
        <v>48.23</v>
      </c>
    </row>
    <row r="440" spans="1:11" x14ac:dyDescent="0.2">
      <c r="A440" s="16" t="s">
        <v>578</v>
      </c>
      <c r="B440" s="16" t="s">
        <v>173</v>
      </c>
      <c r="C440" s="29">
        <v>15</v>
      </c>
      <c r="D440" s="30" t="str">
        <f>[4]Cotação!C130</f>
        <v>FAIXA FOTOLUMINESCENTE PARA IDENTIFICAÇÃO VISUAL DE DEGRAUS 3X7CM</v>
      </c>
      <c r="E440" s="16" t="s">
        <v>38</v>
      </c>
      <c r="F440" s="31">
        <f>35*10</f>
        <v>350</v>
      </c>
      <c r="G440" s="19">
        <v>2.8220000000000001</v>
      </c>
      <c r="H440" s="20">
        <v>0.26400000000000001</v>
      </c>
      <c r="I440" s="21">
        <f t="shared" si="101"/>
        <v>3.57</v>
      </c>
      <c r="J440" s="62">
        <f t="shared" si="102"/>
        <v>1249.5</v>
      </c>
    </row>
    <row r="441" spans="1:11" ht="25.5" x14ac:dyDescent="0.2">
      <c r="A441" s="16" t="s">
        <v>579</v>
      </c>
      <c r="B441" s="16" t="s">
        <v>173</v>
      </c>
      <c r="C441" s="29">
        <v>16</v>
      </c>
      <c r="D441" s="30" t="str">
        <f>[4]Cotação!C137</f>
        <v>BEBEDOURO ACESSÍVEL PCD COM TECLA DE ACIONAMENTO SUAVE PARA ÁGUA GELADA E NATURAL, COM INDICAÇÃO EM BRAILE. JATO PARA BOCA, TEMPERATURA DE RESFRIAMENTO 10° E VAZÃO MÁXIMA (L/H) 60. FORNECIMENTO E INSTALAÇÃO</v>
      </c>
      <c r="E441" s="16" t="s">
        <v>174</v>
      </c>
      <c r="F441" s="31">
        <v>1</v>
      </c>
      <c r="G441" s="19">
        <v>1570.1795</v>
      </c>
      <c r="H441" s="20">
        <v>0.26400000000000001</v>
      </c>
      <c r="I441" s="21">
        <f t="shared" si="101"/>
        <v>1984.71</v>
      </c>
      <c r="J441" s="62">
        <f t="shared" si="102"/>
        <v>1984.71</v>
      </c>
    </row>
    <row r="442" spans="1:11" ht="12.75" customHeight="1" x14ac:dyDescent="0.2">
      <c r="A442" s="144" t="s">
        <v>43</v>
      </c>
      <c r="B442" s="145"/>
      <c r="C442" s="145"/>
      <c r="D442" s="145"/>
      <c r="E442" s="145"/>
      <c r="F442" s="145"/>
      <c r="G442" s="145"/>
      <c r="H442" s="145"/>
      <c r="I442" s="146"/>
      <c r="J442" s="60">
        <f>SUM(J434:J441)</f>
        <v>16523.189999999999</v>
      </c>
    </row>
    <row r="443" spans="1:11" s="24" customFormat="1" x14ac:dyDescent="0.2">
      <c r="A443" s="12">
        <v>13</v>
      </c>
      <c r="B443" s="12"/>
      <c r="C443" s="12"/>
      <c r="D443" s="13" t="s">
        <v>580</v>
      </c>
      <c r="E443" s="12"/>
      <c r="F443" s="14"/>
      <c r="G443" s="15"/>
      <c r="H443" s="12"/>
      <c r="I443" s="12"/>
      <c r="J443" s="60"/>
      <c r="K443" s="23"/>
    </row>
    <row r="444" spans="1:11" x14ac:dyDescent="0.2">
      <c r="A444" s="16" t="s">
        <v>581</v>
      </c>
      <c r="B444" s="16" t="s">
        <v>22</v>
      </c>
      <c r="C444" s="29">
        <v>104738</v>
      </c>
      <c r="D444" s="30" t="s">
        <v>582</v>
      </c>
      <c r="E444" s="29" t="s">
        <v>51</v>
      </c>
      <c r="F444" s="31">
        <f>(657.71*0.35)+(5.6157*0.09)</f>
        <v>230.703913</v>
      </c>
      <c r="G444" s="19">
        <v>73.448499999999996</v>
      </c>
      <c r="H444" s="20">
        <v>0.26400000000000001</v>
      </c>
      <c r="I444" s="21">
        <f t="shared" ref="I444:I461" si="103">ROUND((G444*(1+H444)),2)</f>
        <v>92.84</v>
      </c>
      <c r="J444" s="62">
        <f t="shared" ref="J444:J461" si="104">ROUND((I444*F444),2)</f>
        <v>21418.55</v>
      </c>
    </row>
    <row r="445" spans="1:11" x14ac:dyDescent="0.2">
      <c r="A445" s="16" t="s">
        <v>583</v>
      </c>
      <c r="B445" s="16" t="s">
        <v>22</v>
      </c>
      <c r="C445" s="29">
        <v>103913</v>
      </c>
      <c r="D445" s="30" t="s">
        <v>584</v>
      </c>
      <c r="E445" s="29" t="s">
        <v>24</v>
      </c>
      <c r="F445" s="31">
        <f>691.27+(20.84*1.2)</f>
        <v>716.27800000000002</v>
      </c>
      <c r="G445" s="19">
        <v>109.7343</v>
      </c>
      <c r="H445" s="20">
        <v>0.26400000000000001</v>
      </c>
      <c r="I445" s="21">
        <f t="shared" si="103"/>
        <v>138.69999999999999</v>
      </c>
      <c r="J445" s="62">
        <f t="shared" si="104"/>
        <v>99347.76</v>
      </c>
    </row>
    <row r="446" spans="1:11" ht="25.5" x14ac:dyDescent="0.2">
      <c r="A446" s="16" t="s">
        <v>585</v>
      </c>
      <c r="B446" s="16" t="s">
        <v>22</v>
      </c>
      <c r="C446" s="29">
        <v>87690</v>
      </c>
      <c r="D446" s="30" t="s">
        <v>586</v>
      </c>
      <c r="E446" s="29" t="s">
        <v>24</v>
      </c>
      <c r="F446" s="31">
        <f>737.65+(20.84*1.2)</f>
        <v>762.65800000000002</v>
      </c>
      <c r="G446" s="19">
        <v>51.314499999999995</v>
      </c>
      <c r="H446" s="20">
        <v>0.26400000000000001</v>
      </c>
      <c r="I446" s="21">
        <f t="shared" si="103"/>
        <v>64.86</v>
      </c>
      <c r="J446" s="62">
        <f t="shared" si="104"/>
        <v>49466</v>
      </c>
    </row>
    <row r="447" spans="1:11" ht="25.5" x14ac:dyDescent="0.2">
      <c r="A447" s="16" t="s">
        <v>587</v>
      </c>
      <c r="B447" s="16" t="s">
        <v>91</v>
      </c>
      <c r="C447" s="29" t="str">
        <f>'[4]Composição (2)'!B149</f>
        <v>Q19</v>
      </c>
      <c r="D447" s="30" t="str">
        <f>'[4]Composição (2)'!D149</f>
        <v>REMOÇÃO DE PISO MODULAR ESPORTIVO INDOOR, EM POLIPROPILENO COPOLÍMERO DE AUTO IMPACTO, E MANTA PEBD, COM REAPROVEITAMENTO</v>
      </c>
      <c r="E447" s="29" t="s">
        <v>24</v>
      </c>
      <c r="F447" s="31">
        <v>657.71</v>
      </c>
      <c r="G447" s="19">
        <v>4.3010000000000002</v>
      </c>
      <c r="H447" s="20">
        <v>0.26400000000000001</v>
      </c>
      <c r="I447" s="21">
        <f t="shared" si="103"/>
        <v>5.44</v>
      </c>
      <c r="J447" s="62">
        <f t="shared" si="104"/>
        <v>3577.94</v>
      </c>
    </row>
    <row r="448" spans="1:11" ht="25.5" x14ac:dyDescent="0.2">
      <c r="A448" s="16" t="s">
        <v>588</v>
      </c>
      <c r="B448" s="16" t="s">
        <v>91</v>
      </c>
      <c r="C448" s="29" t="str">
        <f>'[4]Composição (2)'!B152</f>
        <v>Q20</v>
      </c>
      <c r="D448" s="30" t="str">
        <f>'[4]Composição (2)'!D152</f>
        <v>INSTALAÇÃO DE PISO MODULAR ESPORTIVO INDOOR, EM POLIPROPILENO COPOLÍMERO DE AUTO IMPACTO, E MANTA PEBD, MATERIAL EXISTENTE.</v>
      </c>
      <c r="E448" s="29" t="s">
        <v>24</v>
      </c>
      <c r="F448" s="31">
        <f>F447</f>
        <v>657.71</v>
      </c>
      <c r="G448" s="19">
        <v>5.9245000000000001</v>
      </c>
      <c r="H448" s="20">
        <v>0.26400000000000001</v>
      </c>
      <c r="I448" s="21">
        <f t="shared" si="103"/>
        <v>7.49</v>
      </c>
      <c r="J448" s="62">
        <f t="shared" si="104"/>
        <v>4926.25</v>
      </c>
    </row>
    <row r="449" spans="1:10" ht="37.5" customHeight="1" x14ac:dyDescent="0.2">
      <c r="A449" s="16" t="s">
        <v>589</v>
      </c>
      <c r="B449" s="16" t="s">
        <v>91</v>
      </c>
      <c r="C449" s="29" t="str">
        <f>'[4]Composição (2)'!B155</f>
        <v>Q21</v>
      </c>
      <c r="D449" s="30" t="str">
        <f>'[4]Composição (2)'!D155</f>
        <v>INSTALAÇÃO DE PISO MODULAR ESPORTIVO INDOOR, EM POLIPROPILENO COPOLÍMERO DE AUTO IMPACTO, COM MANTA PEBD E FITA DE DEMARCAÇÃO DAS MODALIDADES ESPORTIVAS, BEM COMO CANTONEIRAS E DEMAIS MATERIAIS NECESSÁRIOS (PISO NOVO)</v>
      </c>
      <c r="E449" s="29" t="s">
        <v>24</v>
      </c>
      <c r="F449" s="31">
        <f>(762.66-F447)-21.42</f>
        <v>83.52999999999993</v>
      </c>
      <c r="G449" s="19">
        <v>218.42450000000002</v>
      </c>
      <c r="H449" s="20">
        <v>0.26400000000000001</v>
      </c>
      <c r="I449" s="21">
        <f t="shared" si="103"/>
        <v>276.08999999999997</v>
      </c>
      <c r="J449" s="62">
        <f t="shared" si="104"/>
        <v>23061.8</v>
      </c>
    </row>
    <row r="450" spans="1:10" x14ac:dyDescent="0.2">
      <c r="A450" s="16" t="s">
        <v>590</v>
      </c>
      <c r="B450" s="16" t="s">
        <v>91</v>
      </c>
      <c r="C450" s="29" t="str">
        <f>'[4]Composição (2)'!B181</f>
        <v>Q26</v>
      </c>
      <c r="D450" s="30" t="str">
        <f>'[4]Composição (2)'!D181</f>
        <v>REDE DE PROTEÇÃO PARA QUADRA POLIESPORTIVA - FORNECIMENTO E INSTALAÇÃO. AF_03/2022</v>
      </c>
      <c r="E450" s="29" t="s">
        <v>24</v>
      </c>
      <c r="F450" s="31">
        <v>145</v>
      </c>
      <c r="G450" s="19">
        <v>9.3159999999999989</v>
      </c>
      <c r="H450" s="20">
        <v>0.26400000000000001</v>
      </c>
      <c r="I450" s="21">
        <f t="shared" si="103"/>
        <v>11.78</v>
      </c>
      <c r="J450" s="62">
        <f t="shared" si="104"/>
        <v>1708.1</v>
      </c>
    </row>
    <row r="451" spans="1:10" x14ac:dyDescent="0.2">
      <c r="A451" s="16" t="s">
        <v>591</v>
      </c>
      <c r="B451" s="16" t="s">
        <v>91</v>
      </c>
      <c r="C451" s="29" t="str">
        <f>'[4]Composição (2)'!B15</f>
        <v>Q02</v>
      </c>
      <c r="D451" s="30" t="str">
        <f>'[4]Composição (2)'!D15</f>
        <v>REMOÇÃO DE GUARDA CORPO/GRADIL, COM ALTURA DE 1,10M, COM REAPROVEITAMENTO</v>
      </c>
      <c r="E451" s="29" t="s">
        <v>38</v>
      </c>
      <c r="F451" s="31">
        <f>8.9+1.35+15+1.35+10+1+1+17.4+3.3+1.3+2.4+2.4+4+1.3</f>
        <v>70.699999999999989</v>
      </c>
      <c r="G451" s="19">
        <v>105.64649999999999</v>
      </c>
      <c r="H451" s="20">
        <v>0.26400000000000001</v>
      </c>
      <c r="I451" s="21">
        <f t="shared" si="103"/>
        <v>133.54</v>
      </c>
      <c r="J451" s="62">
        <f t="shared" si="104"/>
        <v>9441.2800000000007</v>
      </c>
    </row>
    <row r="452" spans="1:10" ht="26.25" customHeight="1" x14ac:dyDescent="0.2">
      <c r="A452" s="16" t="s">
        <v>592</v>
      </c>
      <c r="B452" s="16" t="s">
        <v>91</v>
      </c>
      <c r="C452" s="29" t="str">
        <f>'[4]Composição (2)'!B18</f>
        <v>Q02.1</v>
      </c>
      <c r="D452" s="30" t="str">
        <f>'[4]Composição (2)'!D18</f>
        <v>INSTALAÇÃO DE GUARDA CORPO/GRADIL REAPROVEITADO, COM ALTURA DE 1,10M, INCLUSO FIXAÇÃO COM CHUMBADOR MECÂNICO</v>
      </c>
      <c r="E452" s="29" t="s">
        <v>38</v>
      </c>
      <c r="F452" s="31">
        <f>8.9+1.35+15+1.35+10+17.4</f>
        <v>54</v>
      </c>
      <c r="G452" s="19">
        <v>147.22007225000002</v>
      </c>
      <c r="H452" s="20">
        <v>0.26400000000000001</v>
      </c>
      <c r="I452" s="21">
        <f t="shared" si="103"/>
        <v>186.09</v>
      </c>
      <c r="J452" s="62">
        <f t="shared" si="104"/>
        <v>10048.86</v>
      </c>
    </row>
    <row r="453" spans="1:10" ht="26.25" customHeight="1" x14ac:dyDescent="0.2">
      <c r="A453" s="16" t="s">
        <v>593</v>
      </c>
      <c r="B453" s="16" t="s">
        <v>91</v>
      </c>
      <c r="C453" s="29" t="str">
        <f>'[4]Composição (2)'!B186</f>
        <v>Q27</v>
      </c>
      <c r="D453" s="30" t="str">
        <f>'[4]Composição (2)'!D186</f>
        <v>INSTALAÇÃO DE PORTÃO EM AÇO GALVANIZADO DE 1,10M DE ALTURA, COM MONTANTES TUBULARES DE 1.1/4", TRAVESSA SUPERIOR DE 1.1/2", GRADIL COM TELA OTIS, FIXADO EM GRADIL EXISTENTE.</v>
      </c>
      <c r="E453" s="29" t="s">
        <v>38</v>
      </c>
      <c r="F453" s="31">
        <f>3.6</f>
        <v>3.6</v>
      </c>
      <c r="G453" s="19">
        <v>372.49099999999999</v>
      </c>
      <c r="H453" s="20">
        <v>0.26400000000000001</v>
      </c>
      <c r="I453" s="21">
        <f t="shared" si="103"/>
        <v>470.83</v>
      </c>
      <c r="J453" s="62">
        <f t="shared" si="104"/>
        <v>1694.99</v>
      </c>
    </row>
    <row r="454" spans="1:10" ht="25.5" x14ac:dyDescent="0.2">
      <c r="A454" s="16" t="s">
        <v>594</v>
      </c>
      <c r="B454" s="16" t="s">
        <v>91</v>
      </c>
      <c r="C454" s="29" t="str">
        <f>'[4]Composição (2)'!B174</f>
        <v>Q25</v>
      </c>
      <c r="D454" s="30" t="str">
        <f>'[4]Composição (2)'!D174</f>
        <v>CORRIMÃO DUPLO FIXADO EM PAREDE OU ESTRUTURA METÁLICA, DIÂMETRO EXTERNO = 1 1/2", EM AÇO GALVANIZADO (COM PINTURA DE PROTEÇÃO). AF_10/2025</v>
      </c>
      <c r="E454" s="29" t="s">
        <v>38</v>
      </c>
      <c r="F454" s="31">
        <f>F455+1.2+1.2</f>
        <v>14.399999999999999</v>
      </c>
      <c r="G454" s="19">
        <v>145.6985</v>
      </c>
      <c r="H454" s="20">
        <v>0.26400000000000001</v>
      </c>
      <c r="I454" s="21">
        <f>ROUND((G454*(1+H454)),2)</f>
        <v>184.16</v>
      </c>
      <c r="J454" s="62">
        <f>ROUND((I454*F454),2)</f>
        <v>2651.9</v>
      </c>
    </row>
    <row r="455" spans="1:10" ht="38.25" x14ac:dyDescent="0.2">
      <c r="A455" s="16" t="s">
        <v>595</v>
      </c>
      <c r="B455" s="16" t="s">
        <v>22</v>
      </c>
      <c r="C455" s="29">
        <v>99842</v>
      </c>
      <c r="D455" s="30" t="s">
        <v>171</v>
      </c>
      <c r="E455" s="29" t="s">
        <v>38</v>
      </c>
      <c r="F455" s="31">
        <f>6*2</f>
        <v>12</v>
      </c>
      <c r="G455" s="19">
        <v>407.34399999999999</v>
      </c>
      <c r="H455" s="20">
        <v>0.26400000000000001</v>
      </c>
      <c r="I455" s="21">
        <f>ROUND((G455*(1+H455)),2)</f>
        <v>514.88</v>
      </c>
      <c r="J455" s="62">
        <f>ROUND((I455*F455),2)</f>
        <v>6178.56</v>
      </c>
    </row>
    <row r="456" spans="1:10" ht="38.25" x14ac:dyDescent="0.2">
      <c r="A456" s="16" t="s">
        <v>596</v>
      </c>
      <c r="B456" s="16" t="s">
        <v>22</v>
      </c>
      <c r="C456" s="29">
        <v>92580</v>
      </c>
      <c r="D456" s="30" t="s">
        <v>597</v>
      </c>
      <c r="E456" s="29" t="s">
        <v>24</v>
      </c>
      <c r="F456" s="31">
        <v>53</v>
      </c>
      <c r="G456" s="19">
        <v>43.622</v>
      </c>
      <c r="H456" s="20">
        <v>0.26400000000000001</v>
      </c>
      <c r="I456" s="21">
        <f t="shared" ref="I456:I458" si="105">ROUND((G456*(1+H456)),2)</f>
        <v>55.14</v>
      </c>
      <c r="J456" s="62">
        <f t="shared" ref="J456:J458" si="106">ROUND((I456*F456),2)</f>
        <v>2922.42</v>
      </c>
    </row>
    <row r="457" spans="1:10" ht="12.75" customHeight="1" x14ac:dyDescent="0.2">
      <c r="A457" s="16" t="s">
        <v>598</v>
      </c>
      <c r="B457" s="16" t="s">
        <v>91</v>
      </c>
      <c r="C457" s="29" t="str">
        <f>'[4]Composição (2)'!B193</f>
        <v>Q28</v>
      </c>
      <c r="D457" s="30" t="str">
        <f>'[4]Composição (2)'!D193</f>
        <v>TELHAMENTO COM TELHA ONDULADA EM AÇO ZINCADO, COM ATÉ 2 ÁGUAS, INCLUSO IÇAMENTO. AF_07/2019</v>
      </c>
      <c r="E457" s="29" t="s">
        <v>24</v>
      </c>
      <c r="F457" s="31">
        <v>53</v>
      </c>
      <c r="G457" s="19">
        <v>32.079000000000001</v>
      </c>
      <c r="H457" s="20">
        <v>0.26400000000000001</v>
      </c>
      <c r="I457" s="21">
        <f t="shared" si="105"/>
        <v>40.549999999999997</v>
      </c>
      <c r="J457" s="62">
        <f t="shared" si="106"/>
        <v>2149.15</v>
      </c>
    </row>
    <row r="458" spans="1:10" x14ac:dyDescent="0.2">
      <c r="A458" s="16" t="s">
        <v>599</v>
      </c>
      <c r="B458" s="16" t="s">
        <v>91</v>
      </c>
      <c r="C458" s="29" t="str">
        <f>'[4]Composição (2)'!B925</f>
        <v>Q83</v>
      </c>
      <c r="D458" s="33" t="str">
        <f>'[4]Composição (2)'!D925</f>
        <v>REMOÇÃO DE MANTA ALUMINIZADA EXISTENTE, SEM REAPROVEITAMENTO.</v>
      </c>
      <c r="E458" s="29" t="s">
        <v>24</v>
      </c>
      <c r="F458" s="31">
        <f>((16.5*2)*36)+(23*2.6)</f>
        <v>1247.8</v>
      </c>
      <c r="G458" s="19">
        <v>1.0794999999999999</v>
      </c>
      <c r="H458" s="20">
        <v>0.26400000000000001</v>
      </c>
      <c r="I458" s="21">
        <f t="shared" si="105"/>
        <v>1.36</v>
      </c>
      <c r="J458" s="62">
        <f t="shared" si="106"/>
        <v>1697.01</v>
      </c>
    </row>
    <row r="459" spans="1:10" ht="25.5" x14ac:dyDescent="0.2">
      <c r="A459" s="16" t="s">
        <v>600</v>
      </c>
      <c r="B459" s="16" t="s">
        <v>91</v>
      </c>
      <c r="C459" s="29" t="str">
        <f>'[4]Composição (2)'!B928</f>
        <v>Q84</v>
      </c>
      <c r="D459" s="30" t="str">
        <f>'[4]Composição (2)'!D928</f>
        <v>SUBCOBERTURA COM ISOLAMENTO TERMOACÚSTICO COM MANTA ALUMINIZADA E LÃ MINERAL, VEDAÇÃO ESTÉTICA COM VÉU DE VIDRO, INCLUSO TRANSPORTE VERTICAL E TIRANTE METÁLICO (VERGALHÃO) PARA SUSTENTAÇÃO DA MANTA. AF_07/2019</v>
      </c>
      <c r="E459" s="29" t="s">
        <v>24</v>
      </c>
      <c r="F459" s="31">
        <f>((16.5*2)*36)+(23*2.6)+F457</f>
        <v>1300.8</v>
      </c>
      <c r="G459" s="19">
        <v>43.341499999999996</v>
      </c>
      <c r="H459" s="20">
        <v>0.26400000000000001</v>
      </c>
      <c r="I459" s="21">
        <f t="shared" si="103"/>
        <v>54.78</v>
      </c>
      <c r="J459" s="62">
        <f t="shared" si="104"/>
        <v>71257.820000000007</v>
      </c>
    </row>
    <row r="460" spans="1:10" ht="42.75" customHeight="1" x14ac:dyDescent="0.2">
      <c r="A460" s="16" t="s">
        <v>601</v>
      </c>
      <c r="B460" s="16" t="s">
        <v>173</v>
      </c>
      <c r="C460" s="29">
        <v>9</v>
      </c>
      <c r="D460" s="33" t="s">
        <v>602</v>
      </c>
      <c r="E460" s="29" t="s">
        <v>603</v>
      </c>
      <c r="F460" s="31">
        <v>1</v>
      </c>
      <c r="G460" s="19">
        <v>6800</v>
      </c>
      <c r="H460" s="20">
        <v>0.26400000000000001</v>
      </c>
      <c r="I460" s="21">
        <f t="shared" si="103"/>
        <v>8595.2000000000007</v>
      </c>
      <c r="J460" s="62">
        <f t="shared" si="104"/>
        <v>8595.2000000000007</v>
      </c>
    </row>
    <row r="461" spans="1:10" ht="26.25" customHeight="1" x14ac:dyDescent="0.2">
      <c r="A461" s="16" t="s">
        <v>604</v>
      </c>
      <c r="B461" s="16" t="s">
        <v>22</v>
      </c>
      <c r="C461" s="29">
        <v>102491</v>
      </c>
      <c r="D461" s="30" t="s">
        <v>605</v>
      </c>
      <c r="E461" s="29" t="s">
        <v>24</v>
      </c>
      <c r="F461" s="31">
        <f>(126.66*2)+((35.68*0.67)*12)</f>
        <v>540.18720000000008</v>
      </c>
      <c r="G461" s="19">
        <v>18.733999999999998</v>
      </c>
      <c r="H461" s="20">
        <v>0.26400000000000001</v>
      </c>
      <c r="I461" s="21">
        <f t="shared" si="103"/>
        <v>23.68</v>
      </c>
      <c r="J461" s="62">
        <f t="shared" si="104"/>
        <v>12791.63</v>
      </c>
    </row>
    <row r="462" spans="1:10" ht="38.25" x14ac:dyDescent="0.2">
      <c r="A462" s="16" t="s">
        <v>606</v>
      </c>
      <c r="B462" s="16" t="s">
        <v>22</v>
      </c>
      <c r="C462" s="16">
        <v>103360</v>
      </c>
      <c r="D462" s="17" t="s">
        <v>147</v>
      </c>
      <c r="E462" s="16" t="s">
        <v>24</v>
      </c>
      <c r="F462" s="18">
        <f>35*0.6</f>
        <v>21</v>
      </c>
      <c r="G462" s="19">
        <v>83.350999999999999</v>
      </c>
      <c r="H462" s="20">
        <v>0.26400000000000001</v>
      </c>
      <c r="I462" s="21">
        <f>ROUND((G462*(1+H462)),2)</f>
        <v>105.36</v>
      </c>
      <c r="J462" s="62">
        <f>ROUND((I462*F462),2)</f>
        <v>2212.56</v>
      </c>
    </row>
    <row r="463" spans="1:10" ht="25.5" x14ac:dyDescent="0.2">
      <c r="A463" s="16" t="s">
        <v>607</v>
      </c>
      <c r="B463" s="16" t="s">
        <v>22</v>
      </c>
      <c r="C463" s="16">
        <v>87905</v>
      </c>
      <c r="D463" s="17" t="s">
        <v>153</v>
      </c>
      <c r="E463" s="16" t="s">
        <v>24</v>
      </c>
      <c r="F463" s="18">
        <f>F462*2</f>
        <v>42</v>
      </c>
      <c r="G463" s="19">
        <v>8.2705000000000002</v>
      </c>
      <c r="H463" s="20">
        <v>0.26400000000000001</v>
      </c>
      <c r="I463" s="21">
        <f t="shared" ref="I463:I467" si="107">ROUND((G463*(1+H463)),2)</f>
        <v>10.45</v>
      </c>
      <c r="J463" s="62">
        <f t="shared" ref="J463:J467" si="108">ROUND((I463*F463),2)</f>
        <v>438.9</v>
      </c>
    </row>
    <row r="464" spans="1:10" ht="39" customHeight="1" x14ac:dyDescent="0.2">
      <c r="A464" s="16" t="s">
        <v>608</v>
      </c>
      <c r="B464" s="16" t="s">
        <v>22</v>
      </c>
      <c r="C464" s="16">
        <v>87775</v>
      </c>
      <c r="D464" s="17" t="s">
        <v>155</v>
      </c>
      <c r="E464" s="16" t="s">
        <v>24</v>
      </c>
      <c r="F464" s="18">
        <f>F463</f>
        <v>42</v>
      </c>
      <c r="G464" s="19">
        <v>54.06</v>
      </c>
      <c r="H464" s="20">
        <v>0.26400000000000001</v>
      </c>
      <c r="I464" s="21">
        <f t="shared" si="107"/>
        <v>68.33</v>
      </c>
      <c r="J464" s="62">
        <f t="shared" si="108"/>
        <v>2869.86</v>
      </c>
    </row>
    <row r="465" spans="1:11" ht="25.5" x14ac:dyDescent="0.2">
      <c r="A465" s="16" t="s">
        <v>609</v>
      </c>
      <c r="B465" s="16" t="s">
        <v>22</v>
      </c>
      <c r="C465" s="16">
        <v>88413</v>
      </c>
      <c r="D465" s="17" t="s">
        <v>260</v>
      </c>
      <c r="E465" s="16" t="s">
        <v>24</v>
      </c>
      <c r="F465" s="18">
        <f>F463+(70*0.65)</f>
        <v>87.5</v>
      </c>
      <c r="G465" s="19">
        <v>4.9130000000000003</v>
      </c>
      <c r="H465" s="20">
        <v>0.26400000000000001</v>
      </c>
      <c r="I465" s="21">
        <f t="shared" si="107"/>
        <v>6.21</v>
      </c>
      <c r="J465" s="62">
        <f t="shared" si="108"/>
        <v>543.38</v>
      </c>
    </row>
    <row r="466" spans="1:11" x14ac:dyDescent="0.2">
      <c r="A466" s="16" t="s">
        <v>610</v>
      </c>
      <c r="B466" s="16" t="s">
        <v>22</v>
      </c>
      <c r="C466" s="16">
        <v>88497</v>
      </c>
      <c r="D466" s="17" t="s">
        <v>159</v>
      </c>
      <c r="E466" s="16" t="s">
        <v>24</v>
      </c>
      <c r="F466" s="18">
        <f>F465</f>
        <v>87.5</v>
      </c>
      <c r="G466" s="19">
        <v>17.926500000000001</v>
      </c>
      <c r="H466" s="20">
        <v>0.26400000000000001</v>
      </c>
      <c r="I466" s="21">
        <f t="shared" si="107"/>
        <v>22.66</v>
      </c>
      <c r="J466" s="62">
        <f t="shared" si="108"/>
        <v>1982.75</v>
      </c>
    </row>
    <row r="467" spans="1:11" ht="25.5" x14ac:dyDescent="0.2">
      <c r="A467" s="16" t="s">
        <v>611</v>
      </c>
      <c r="B467" s="16" t="s">
        <v>22</v>
      </c>
      <c r="C467" s="16">
        <v>88424</v>
      </c>
      <c r="D467" s="17" t="s">
        <v>161</v>
      </c>
      <c r="E467" s="16" t="s">
        <v>24</v>
      </c>
      <c r="F467" s="18">
        <f>F465+(70*0.65)</f>
        <v>133</v>
      </c>
      <c r="G467" s="19">
        <v>21.547499999999999</v>
      </c>
      <c r="H467" s="20">
        <v>0.26400000000000001</v>
      </c>
      <c r="I467" s="21">
        <f t="shared" si="107"/>
        <v>27.24</v>
      </c>
      <c r="J467" s="62">
        <f t="shared" si="108"/>
        <v>3622.92</v>
      </c>
    </row>
    <row r="468" spans="1:11" ht="12.75" customHeight="1" x14ac:dyDescent="0.2">
      <c r="A468" s="144" t="s">
        <v>43</v>
      </c>
      <c r="B468" s="145"/>
      <c r="C468" s="145"/>
      <c r="D468" s="145"/>
      <c r="E468" s="145"/>
      <c r="F468" s="145"/>
      <c r="G468" s="145"/>
      <c r="H468" s="145"/>
      <c r="I468" s="146"/>
      <c r="J468" s="60">
        <f>SUM(J444:J467)</f>
        <v>344605.59</v>
      </c>
    </row>
    <row r="469" spans="1:11" s="24" customFormat="1" x14ac:dyDescent="0.2">
      <c r="A469" s="12">
        <v>14</v>
      </c>
      <c r="B469" s="12"/>
      <c r="C469" s="12"/>
      <c r="D469" s="13" t="s">
        <v>612</v>
      </c>
      <c r="E469" s="12"/>
      <c r="F469" s="14"/>
      <c r="G469" s="15"/>
      <c r="H469" s="12"/>
      <c r="I469" s="12"/>
      <c r="J469" s="60"/>
      <c r="K469" s="23"/>
    </row>
    <row r="470" spans="1:11" ht="38.25" customHeight="1" x14ac:dyDescent="0.2">
      <c r="A470" s="16" t="s">
        <v>613</v>
      </c>
      <c r="B470" s="16" t="s">
        <v>22</v>
      </c>
      <c r="C470" s="16">
        <v>101134</v>
      </c>
      <c r="D470" s="33" t="s">
        <v>614</v>
      </c>
      <c r="E470" s="16" t="s">
        <v>51</v>
      </c>
      <c r="F470" s="18">
        <f>300*0.2</f>
        <v>60</v>
      </c>
      <c r="G470" s="19">
        <v>13.753</v>
      </c>
      <c r="H470" s="20">
        <v>0.26400000000000001</v>
      </c>
      <c r="I470" s="21">
        <f>ROUND((G470*(1+H470)),2)</f>
        <v>17.38</v>
      </c>
      <c r="J470" s="62">
        <f>ROUND((I470*F470),2)</f>
        <v>1042.8</v>
      </c>
    </row>
    <row r="471" spans="1:11" x14ac:dyDescent="0.2">
      <c r="A471" s="16" t="s">
        <v>615</v>
      </c>
      <c r="B471" s="16" t="s">
        <v>22</v>
      </c>
      <c r="C471" s="16">
        <v>100575</v>
      </c>
      <c r="D471" s="33" t="s">
        <v>616</v>
      </c>
      <c r="E471" s="16" t="s">
        <v>24</v>
      </c>
      <c r="F471" s="18">
        <v>300</v>
      </c>
      <c r="G471" s="19">
        <v>0.53549999999999998</v>
      </c>
      <c r="H471" s="20">
        <v>0.26400000000000001</v>
      </c>
      <c r="I471" s="21">
        <f>ROUND((G471*(1+H471)),2)</f>
        <v>0.68</v>
      </c>
      <c r="J471" s="62">
        <f>ROUND((I471*F471),2)</f>
        <v>204</v>
      </c>
    </row>
    <row r="472" spans="1:11" x14ac:dyDescent="0.2">
      <c r="A472" s="16" t="s">
        <v>617</v>
      </c>
      <c r="B472" s="16" t="s">
        <v>91</v>
      </c>
      <c r="C472" s="29" t="str">
        <f>'[4]Composição (2)'!B908</f>
        <v>Q79</v>
      </c>
      <c r="D472" s="30" t="str">
        <f>'[4]Composição (2)'!D908</f>
        <v>VIGA MOLDADA IN LOCO, 15X30 CM, COM EXECUÇÃO DE FORMA E DESFORMA, COM TRELIÇA METALICA E ESCAVAÇÃO.</v>
      </c>
      <c r="E472" s="29" t="s">
        <v>38</v>
      </c>
      <c r="F472" s="31">
        <f>117.43+12.35+40+11.22+10.42+4.65</f>
        <v>196.07</v>
      </c>
      <c r="G472" s="19">
        <v>110.55999999999999</v>
      </c>
      <c r="H472" s="20">
        <v>0.26400000000000001</v>
      </c>
      <c r="I472" s="21">
        <f t="shared" ref="I472:I479" si="109">ROUND((G472*(1+H472)),2)</f>
        <v>139.75</v>
      </c>
      <c r="J472" s="62">
        <f t="shared" ref="J472:J479" si="110">ROUND((I472*F472),2)</f>
        <v>27400.78</v>
      </c>
    </row>
    <row r="473" spans="1:11" ht="25.5" x14ac:dyDescent="0.2">
      <c r="A473" s="16" t="s">
        <v>618</v>
      </c>
      <c r="B473" s="16" t="s">
        <v>22</v>
      </c>
      <c r="C473" s="29">
        <v>92398</v>
      </c>
      <c r="D473" s="30" t="s">
        <v>619</v>
      </c>
      <c r="E473" s="29" t="s">
        <v>24</v>
      </c>
      <c r="F473" s="31">
        <v>275.27999999999997</v>
      </c>
      <c r="G473" s="19">
        <v>71.612499999999997</v>
      </c>
      <c r="H473" s="20">
        <v>0.26400000000000001</v>
      </c>
      <c r="I473" s="21">
        <f t="shared" si="109"/>
        <v>90.52</v>
      </c>
      <c r="J473" s="62">
        <f t="shared" si="110"/>
        <v>24918.35</v>
      </c>
    </row>
    <row r="474" spans="1:11" ht="25.5" x14ac:dyDescent="0.2">
      <c r="A474" s="16" t="s">
        <v>620</v>
      </c>
      <c r="B474" s="16" t="s">
        <v>22</v>
      </c>
      <c r="C474" s="29">
        <v>94273</v>
      </c>
      <c r="D474" s="30" t="s">
        <v>621</v>
      </c>
      <c r="E474" s="29" t="s">
        <v>38</v>
      </c>
      <c r="F474" s="31">
        <f>13.62+12.4</f>
        <v>26.02</v>
      </c>
      <c r="G474" s="19">
        <v>36.839000000000006</v>
      </c>
      <c r="H474" s="20">
        <v>0.26400000000000001</v>
      </c>
      <c r="I474" s="21">
        <f t="shared" si="109"/>
        <v>46.56</v>
      </c>
      <c r="J474" s="62">
        <f t="shared" si="110"/>
        <v>1211.49</v>
      </c>
    </row>
    <row r="475" spans="1:11" x14ac:dyDescent="0.2">
      <c r="A475" s="16" t="s">
        <v>622</v>
      </c>
      <c r="B475" s="16" t="s">
        <v>22</v>
      </c>
      <c r="C475" s="29">
        <v>105521</v>
      </c>
      <c r="D475" s="30" t="s">
        <v>623</v>
      </c>
      <c r="E475" s="29" t="s">
        <v>24</v>
      </c>
      <c r="F475" s="31">
        <v>300</v>
      </c>
      <c r="G475" s="19">
        <v>3.7484999999999999</v>
      </c>
      <c r="H475" s="20">
        <v>0.26400000000000001</v>
      </c>
      <c r="I475" s="21">
        <f t="shared" si="109"/>
        <v>4.74</v>
      </c>
      <c r="J475" s="62">
        <f t="shared" si="110"/>
        <v>1422</v>
      </c>
    </row>
    <row r="476" spans="1:11" x14ac:dyDescent="0.2">
      <c r="A476" s="16" t="s">
        <v>624</v>
      </c>
      <c r="B476" s="16" t="s">
        <v>22</v>
      </c>
      <c r="C476" s="29">
        <v>98505</v>
      </c>
      <c r="D476" s="30" t="s">
        <v>222</v>
      </c>
      <c r="E476" s="29" t="s">
        <v>24</v>
      </c>
      <c r="F476" s="31">
        <f>146-14.085</f>
        <v>131.91499999999999</v>
      </c>
      <c r="G476" s="19">
        <v>60.290500000000009</v>
      </c>
      <c r="H476" s="20">
        <v>0.26400000000000001</v>
      </c>
      <c r="I476" s="21">
        <f t="shared" si="109"/>
        <v>76.209999999999994</v>
      </c>
      <c r="J476" s="62">
        <f t="shared" si="110"/>
        <v>10053.24</v>
      </c>
    </row>
    <row r="477" spans="1:11" x14ac:dyDescent="0.2">
      <c r="A477" s="16" t="s">
        <v>625</v>
      </c>
      <c r="B477" s="16" t="s">
        <v>22</v>
      </c>
      <c r="C477" s="29">
        <v>98509</v>
      </c>
      <c r="D477" s="30" t="s">
        <v>626</v>
      </c>
      <c r="E477" s="29" t="s">
        <v>62</v>
      </c>
      <c r="F477" s="31">
        <v>20</v>
      </c>
      <c r="G477" s="19">
        <v>39.695</v>
      </c>
      <c r="H477" s="20">
        <v>0.26400000000000001</v>
      </c>
      <c r="I477" s="21">
        <f t="shared" si="109"/>
        <v>50.17</v>
      </c>
      <c r="J477" s="62">
        <f t="shared" si="110"/>
        <v>1003.4</v>
      </c>
    </row>
    <row r="478" spans="1:11" x14ac:dyDescent="0.2">
      <c r="A478" s="16" t="s">
        <v>627</v>
      </c>
      <c r="B478" s="16" t="s">
        <v>22</v>
      </c>
      <c r="C478" s="29">
        <v>98511</v>
      </c>
      <c r="D478" s="30" t="s">
        <v>628</v>
      </c>
      <c r="E478" s="29" t="s">
        <v>62</v>
      </c>
      <c r="F478" s="31">
        <v>3</v>
      </c>
      <c r="G478" s="19">
        <v>125.1285</v>
      </c>
      <c r="H478" s="20">
        <v>0.26400000000000001</v>
      </c>
      <c r="I478" s="21">
        <f t="shared" si="109"/>
        <v>158.16</v>
      </c>
      <c r="J478" s="62">
        <f t="shared" si="110"/>
        <v>474.48</v>
      </c>
    </row>
    <row r="479" spans="1:11" ht="25.5" x14ac:dyDescent="0.2">
      <c r="A479" s="16" t="s">
        <v>629</v>
      </c>
      <c r="B479" s="16" t="s">
        <v>22</v>
      </c>
      <c r="C479" s="29">
        <v>87373</v>
      </c>
      <c r="D479" s="30" t="s">
        <v>630</v>
      </c>
      <c r="E479" s="29" t="s">
        <v>51</v>
      </c>
      <c r="F479" s="31">
        <v>2.5</v>
      </c>
      <c r="G479" s="19">
        <v>743.18050000000005</v>
      </c>
      <c r="H479" s="20">
        <v>0.26400000000000001</v>
      </c>
      <c r="I479" s="21">
        <f t="shared" si="109"/>
        <v>939.38</v>
      </c>
      <c r="J479" s="62">
        <f t="shared" si="110"/>
        <v>2348.4499999999998</v>
      </c>
    </row>
    <row r="480" spans="1:11" ht="12.75" customHeight="1" x14ac:dyDescent="0.2">
      <c r="A480" s="144" t="s">
        <v>43</v>
      </c>
      <c r="B480" s="145"/>
      <c r="C480" s="145"/>
      <c r="D480" s="145"/>
      <c r="E480" s="145"/>
      <c r="F480" s="145"/>
      <c r="G480" s="145"/>
      <c r="H480" s="145"/>
      <c r="I480" s="146"/>
      <c r="J480" s="60">
        <f>SUM(J470:J479)</f>
        <v>70078.989999999976</v>
      </c>
    </row>
    <row r="481" spans="1:10" x14ac:dyDescent="0.2">
      <c r="A481" s="12">
        <v>15</v>
      </c>
      <c r="B481" s="12"/>
      <c r="C481" s="37"/>
      <c r="D481" s="13" t="s">
        <v>631</v>
      </c>
      <c r="E481" s="38"/>
      <c r="F481" s="39"/>
      <c r="G481" s="40"/>
      <c r="H481" s="41"/>
      <c r="I481" s="41"/>
      <c r="J481" s="78"/>
    </row>
    <row r="482" spans="1:10" x14ac:dyDescent="0.2">
      <c r="A482" s="32" t="s">
        <v>632</v>
      </c>
      <c r="B482" s="32" t="s">
        <v>22</v>
      </c>
      <c r="C482" s="32">
        <v>99814</v>
      </c>
      <c r="D482" s="42" t="s">
        <v>633</v>
      </c>
      <c r="E482" s="32" t="s">
        <v>24</v>
      </c>
      <c r="F482" s="43">
        <v>2225.6</v>
      </c>
      <c r="G482" s="19">
        <v>1.4875</v>
      </c>
      <c r="H482" s="20">
        <v>0.26400000000000001</v>
      </c>
      <c r="I482" s="36">
        <f>ROUND((G482*(1+H482)),2)</f>
        <v>1.88</v>
      </c>
      <c r="J482" s="71">
        <f>ROUND((I482*F482),2)</f>
        <v>4184.13</v>
      </c>
    </row>
    <row r="483" spans="1:10" ht="12.75" customHeight="1" x14ac:dyDescent="0.2">
      <c r="A483" s="144" t="s">
        <v>43</v>
      </c>
      <c r="B483" s="145"/>
      <c r="C483" s="145"/>
      <c r="D483" s="145"/>
      <c r="E483" s="145"/>
      <c r="F483" s="145"/>
      <c r="G483" s="145"/>
      <c r="H483" s="145"/>
      <c r="I483" s="146"/>
      <c r="J483" s="60">
        <f>SUM(J482:J482)</f>
        <v>4184.13</v>
      </c>
    </row>
    <row r="484" spans="1:10" x14ac:dyDescent="0.2">
      <c r="A484" s="12">
        <v>16</v>
      </c>
      <c r="B484" s="12"/>
      <c r="C484" s="12"/>
      <c r="D484" s="13" t="s">
        <v>636</v>
      </c>
      <c r="E484" s="12"/>
      <c r="F484" s="14"/>
      <c r="G484" s="15"/>
      <c r="H484" s="12"/>
      <c r="I484" s="12"/>
      <c r="J484" s="60"/>
    </row>
    <row r="485" spans="1:10" x14ac:dyDescent="0.2">
      <c r="A485" s="25" t="s">
        <v>683</v>
      </c>
      <c r="B485" s="25"/>
      <c r="C485" s="25"/>
      <c r="D485" s="26" t="s">
        <v>637</v>
      </c>
      <c r="E485" s="25"/>
      <c r="F485" s="27"/>
      <c r="G485" s="28"/>
      <c r="H485" s="25"/>
      <c r="I485" s="25"/>
      <c r="J485" s="61"/>
    </row>
    <row r="486" spans="1:10" ht="12.75" customHeight="1" x14ac:dyDescent="0.2">
      <c r="A486" s="16" t="s">
        <v>684</v>
      </c>
      <c r="B486" s="16" t="s">
        <v>22</v>
      </c>
      <c r="C486" s="29">
        <v>101207</v>
      </c>
      <c r="D486" s="30" t="s">
        <v>356</v>
      </c>
      <c r="E486" s="29" t="s">
        <v>51</v>
      </c>
      <c r="F486" s="31">
        <v>524.42500000000007</v>
      </c>
      <c r="G486" s="19">
        <v>9.9450000000000003</v>
      </c>
      <c r="H486" s="20">
        <v>0.26400000000000001</v>
      </c>
      <c r="I486" s="21">
        <f t="shared" ref="I486:I496" si="111">ROUND((G486*(1+H486)),2)</f>
        <v>12.57</v>
      </c>
      <c r="J486" s="62">
        <f t="shared" ref="J486:J496" si="112">ROUND((I486*F486),2)</f>
        <v>6592.02</v>
      </c>
    </row>
    <row r="487" spans="1:10" x14ac:dyDescent="0.2">
      <c r="A487" s="16" t="s">
        <v>685</v>
      </c>
      <c r="B487" s="16" t="s">
        <v>22</v>
      </c>
      <c r="C487" s="29">
        <v>96622</v>
      </c>
      <c r="D487" s="30" t="s">
        <v>358</v>
      </c>
      <c r="E487" s="29" t="s">
        <v>51</v>
      </c>
      <c r="F487" s="31">
        <v>10.488500000000002</v>
      </c>
      <c r="G487" s="19">
        <v>204.4845</v>
      </c>
      <c r="H487" s="20">
        <v>0.26400000000000001</v>
      </c>
      <c r="I487" s="21">
        <f t="shared" si="111"/>
        <v>258.47000000000003</v>
      </c>
      <c r="J487" s="62">
        <f t="shared" si="112"/>
        <v>2710.96</v>
      </c>
    </row>
    <row r="488" spans="1:10" x14ac:dyDescent="0.2">
      <c r="A488" s="16" t="s">
        <v>686</v>
      </c>
      <c r="B488" s="16" t="s">
        <v>22</v>
      </c>
      <c r="C488" s="29">
        <v>98557</v>
      </c>
      <c r="D488" s="30" t="s">
        <v>638</v>
      </c>
      <c r="E488" s="29" t="s">
        <v>24</v>
      </c>
      <c r="F488" s="31">
        <v>236.07000000000005</v>
      </c>
      <c r="G488" s="19">
        <v>45.628</v>
      </c>
      <c r="H488" s="20">
        <v>0.26400000000000001</v>
      </c>
      <c r="I488" s="21">
        <f t="shared" si="111"/>
        <v>57.67</v>
      </c>
      <c r="J488" s="62">
        <f t="shared" si="112"/>
        <v>13614.16</v>
      </c>
    </row>
    <row r="489" spans="1:10" ht="48" customHeight="1" x14ac:dyDescent="0.2">
      <c r="A489" s="16" t="s">
        <v>687</v>
      </c>
      <c r="B489" s="16" t="s">
        <v>22</v>
      </c>
      <c r="C489" s="29">
        <v>104916</v>
      </c>
      <c r="D489" s="30" t="s">
        <v>639</v>
      </c>
      <c r="E489" s="29" t="s">
        <v>361</v>
      </c>
      <c r="F489" s="31">
        <v>78.5</v>
      </c>
      <c r="G489" s="19">
        <v>15.1045</v>
      </c>
      <c r="H489" s="20">
        <v>0.26400000000000001</v>
      </c>
      <c r="I489" s="21">
        <f t="shared" si="111"/>
        <v>19.09</v>
      </c>
      <c r="J489" s="62">
        <f t="shared" si="112"/>
        <v>1498.57</v>
      </c>
    </row>
    <row r="490" spans="1:10" x14ac:dyDescent="0.2">
      <c r="A490" s="16" t="s">
        <v>688</v>
      </c>
      <c r="B490" s="16" t="s">
        <v>22</v>
      </c>
      <c r="C490" s="29">
        <v>104917</v>
      </c>
      <c r="D490" s="30" t="s">
        <v>640</v>
      </c>
      <c r="E490" s="29" t="s">
        <v>361</v>
      </c>
      <c r="F490" s="31">
        <v>213.79999999999998</v>
      </c>
      <c r="G490" s="19">
        <v>13.616999999999999</v>
      </c>
      <c r="H490" s="20">
        <v>0.26400000000000001</v>
      </c>
      <c r="I490" s="21">
        <f t="shared" si="111"/>
        <v>17.21</v>
      </c>
      <c r="J490" s="62">
        <f t="shared" si="112"/>
        <v>3679.5</v>
      </c>
    </row>
    <row r="491" spans="1:10" x14ac:dyDescent="0.2">
      <c r="A491" s="16" t="s">
        <v>689</v>
      </c>
      <c r="B491" s="16" t="s">
        <v>22</v>
      </c>
      <c r="C491" s="29">
        <v>104918</v>
      </c>
      <c r="D491" s="30" t="s">
        <v>360</v>
      </c>
      <c r="E491" s="29" t="s">
        <v>361</v>
      </c>
      <c r="F491" s="31">
        <v>184.10000000000002</v>
      </c>
      <c r="G491" s="19">
        <v>12.324999999999999</v>
      </c>
      <c r="H491" s="20">
        <v>0.26400000000000001</v>
      </c>
      <c r="I491" s="21">
        <f t="shared" si="111"/>
        <v>15.58</v>
      </c>
      <c r="J491" s="62">
        <f t="shared" si="112"/>
        <v>2868.28</v>
      </c>
    </row>
    <row r="492" spans="1:10" x14ac:dyDescent="0.2">
      <c r="A492" s="16" t="s">
        <v>690</v>
      </c>
      <c r="B492" s="16" t="s">
        <v>22</v>
      </c>
      <c r="C492" s="29">
        <v>104919</v>
      </c>
      <c r="D492" s="30" t="s">
        <v>641</v>
      </c>
      <c r="E492" s="29" t="s">
        <v>361</v>
      </c>
      <c r="F492" s="31">
        <v>447.20000000000005</v>
      </c>
      <c r="G492" s="19">
        <v>10.871499999999999</v>
      </c>
      <c r="H492" s="20">
        <v>0.26400000000000001</v>
      </c>
      <c r="I492" s="21">
        <f t="shared" si="111"/>
        <v>13.74</v>
      </c>
      <c r="J492" s="62">
        <f t="shared" si="112"/>
        <v>6144.53</v>
      </c>
    </row>
    <row r="493" spans="1:10" ht="25.5" x14ac:dyDescent="0.2">
      <c r="A493" s="16" t="s">
        <v>691</v>
      </c>
      <c r="B493" s="16" t="s">
        <v>22</v>
      </c>
      <c r="C493" s="29">
        <v>104920</v>
      </c>
      <c r="D493" s="30" t="s">
        <v>642</v>
      </c>
      <c r="E493" s="29" t="s">
        <v>361</v>
      </c>
      <c r="F493" s="31">
        <v>515.29999999999995</v>
      </c>
      <c r="G493" s="19">
        <v>9.2140000000000004</v>
      </c>
      <c r="H493" s="20">
        <v>0.26400000000000001</v>
      </c>
      <c r="I493" s="21">
        <f t="shared" si="111"/>
        <v>11.65</v>
      </c>
      <c r="J493" s="62">
        <f t="shared" si="112"/>
        <v>6003.25</v>
      </c>
    </row>
    <row r="494" spans="1:10" ht="25.5" x14ac:dyDescent="0.2">
      <c r="A494" s="16" t="s">
        <v>692</v>
      </c>
      <c r="B494" s="16" t="s">
        <v>22</v>
      </c>
      <c r="C494" s="29">
        <v>104921</v>
      </c>
      <c r="D494" s="30" t="s">
        <v>643</v>
      </c>
      <c r="E494" s="29" t="s">
        <v>361</v>
      </c>
      <c r="F494" s="31">
        <v>445.29999999999995</v>
      </c>
      <c r="G494" s="19">
        <v>9.18</v>
      </c>
      <c r="H494" s="20">
        <v>0.26400000000000001</v>
      </c>
      <c r="I494" s="21">
        <f t="shared" si="111"/>
        <v>11.6</v>
      </c>
      <c r="J494" s="62">
        <f t="shared" si="112"/>
        <v>5165.4799999999996</v>
      </c>
    </row>
    <row r="495" spans="1:10" x14ac:dyDescent="0.2">
      <c r="A495" s="16" t="s">
        <v>693</v>
      </c>
      <c r="B495" s="16" t="s">
        <v>22</v>
      </c>
      <c r="C495" s="29">
        <v>104922</v>
      </c>
      <c r="D495" s="30" t="s">
        <v>644</v>
      </c>
      <c r="E495" s="29" t="s">
        <v>361</v>
      </c>
      <c r="F495" s="31">
        <v>14.4</v>
      </c>
      <c r="G495" s="19">
        <v>8.5169999999999995</v>
      </c>
      <c r="H495" s="20">
        <v>0.26400000000000001</v>
      </c>
      <c r="I495" s="21">
        <f t="shared" si="111"/>
        <v>10.77</v>
      </c>
      <c r="J495" s="62">
        <f t="shared" si="112"/>
        <v>155.09</v>
      </c>
    </row>
    <row r="496" spans="1:10" x14ac:dyDescent="0.2">
      <c r="A496" s="16" t="s">
        <v>694</v>
      </c>
      <c r="B496" s="16" t="s">
        <v>22</v>
      </c>
      <c r="C496" s="29">
        <v>96558</v>
      </c>
      <c r="D496" s="30" t="s">
        <v>365</v>
      </c>
      <c r="E496" s="29" t="s">
        <v>51</v>
      </c>
      <c r="F496" s="31">
        <v>30.45</v>
      </c>
      <c r="G496" s="19">
        <v>736.83100000000002</v>
      </c>
      <c r="H496" s="20">
        <v>0.26400000000000001</v>
      </c>
      <c r="I496" s="21">
        <f t="shared" si="111"/>
        <v>931.35</v>
      </c>
      <c r="J496" s="62">
        <f t="shared" si="112"/>
        <v>28359.61</v>
      </c>
    </row>
    <row r="497" spans="1:10" x14ac:dyDescent="0.2">
      <c r="A497" s="63"/>
      <c r="B497" s="63"/>
      <c r="C497" s="64"/>
      <c r="D497" s="65" t="s">
        <v>108</v>
      </c>
      <c r="E497" s="63"/>
      <c r="F497" s="66"/>
      <c r="G497" s="67"/>
      <c r="H497" s="68"/>
      <c r="I497" s="69"/>
      <c r="J497" s="61">
        <f>SUM(J486:J496)</f>
        <v>76791.45</v>
      </c>
    </row>
    <row r="498" spans="1:10" x14ac:dyDescent="0.2">
      <c r="A498" s="25" t="s">
        <v>695</v>
      </c>
      <c r="B498" s="25"/>
      <c r="C498" s="25"/>
      <c r="D498" s="26" t="s">
        <v>645</v>
      </c>
      <c r="E498" s="25"/>
      <c r="F498" s="27"/>
      <c r="G498" s="28"/>
      <c r="H498" s="25"/>
      <c r="I498" s="25"/>
      <c r="J498" s="61"/>
    </row>
    <row r="499" spans="1:10" x14ac:dyDescent="0.2">
      <c r="A499" s="70" t="s">
        <v>696</v>
      </c>
      <c r="B499" s="16" t="s">
        <v>22</v>
      </c>
      <c r="C499" s="29">
        <v>96622</v>
      </c>
      <c r="D499" s="30" t="s">
        <v>358</v>
      </c>
      <c r="E499" s="29" t="s">
        <v>51</v>
      </c>
      <c r="F499" s="31">
        <v>5.9340000000000011</v>
      </c>
      <c r="G499" s="19">
        <v>204.4845</v>
      </c>
      <c r="H499" s="20">
        <v>0.26400000000000001</v>
      </c>
      <c r="I499" s="21">
        <f t="shared" ref="I499:I506" si="113">ROUND((G499*(1+H499)),2)</f>
        <v>258.47000000000003</v>
      </c>
      <c r="J499" s="62">
        <f t="shared" ref="J499:J506" si="114">ROUND((I499*F499),2)</f>
        <v>1533.76</v>
      </c>
    </row>
    <row r="500" spans="1:10" x14ac:dyDescent="0.2">
      <c r="A500" s="70" t="s">
        <v>697</v>
      </c>
      <c r="B500" s="16" t="s">
        <v>22</v>
      </c>
      <c r="C500" s="29">
        <v>104916</v>
      </c>
      <c r="D500" s="30" t="s">
        <v>639</v>
      </c>
      <c r="E500" s="29" t="s">
        <v>361</v>
      </c>
      <c r="F500" s="31">
        <v>156.1</v>
      </c>
      <c r="G500" s="19">
        <v>15.1045</v>
      </c>
      <c r="H500" s="20">
        <v>0.26400000000000001</v>
      </c>
      <c r="I500" s="21">
        <f t="shared" si="113"/>
        <v>19.09</v>
      </c>
      <c r="J500" s="62">
        <f t="shared" si="114"/>
        <v>2979.95</v>
      </c>
    </row>
    <row r="501" spans="1:10" x14ac:dyDescent="0.2">
      <c r="A501" s="70" t="s">
        <v>698</v>
      </c>
      <c r="B501" s="16" t="s">
        <v>22</v>
      </c>
      <c r="C501" s="29">
        <v>104917</v>
      </c>
      <c r="D501" s="30" t="s">
        <v>640</v>
      </c>
      <c r="E501" s="29" t="s">
        <v>361</v>
      </c>
      <c r="F501" s="31">
        <v>5.3</v>
      </c>
      <c r="G501" s="19">
        <v>13.616999999999999</v>
      </c>
      <c r="H501" s="20">
        <v>0.26400000000000001</v>
      </c>
      <c r="I501" s="21">
        <f t="shared" si="113"/>
        <v>17.21</v>
      </c>
      <c r="J501" s="62">
        <f t="shared" si="114"/>
        <v>91.21</v>
      </c>
    </row>
    <row r="502" spans="1:10" x14ac:dyDescent="0.2">
      <c r="A502" s="70" t="s">
        <v>699</v>
      </c>
      <c r="B502" s="16" t="s">
        <v>22</v>
      </c>
      <c r="C502" s="29">
        <v>104918</v>
      </c>
      <c r="D502" s="30" t="s">
        <v>360</v>
      </c>
      <c r="E502" s="29" t="s">
        <v>361</v>
      </c>
      <c r="F502" s="31">
        <v>344.5</v>
      </c>
      <c r="G502" s="19">
        <v>12.324999999999999</v>
      </c>
      <c r="H502" s="20">
        <v>0.26400000000000001</v>
      </c>
      <c r="I502" s="21">
        <f t="shared" si="113"/>
        <v>15.58</v>
      </c>
      <c r="J502" s="62">
        <f t="shared" si="114"/>
        <v>5367.31</v>
      </c>
    </row>
    <row r="503" spans="1:10" x14ac:dyDescent="0.2">
      <c r="A503" s="70" t="s">
        <v>700</v>
      </c>
      <c r="B503" s="16" t="s">
        <v>22</v>
      </c>
      <c r="C503" s="29">
        <v>104919</v>
      </c>
      <c r="D503" s="30" t="s">
        <v>641</v>
      </c>
      <c r="E503" s="29" t="s">
        <v>361</v>
      </c>
      <c r="F503" s="31">
        <v>133.9</v>
      </c>
      <c r="G503" s="19">
        <v>10.871499999999999</v>
      </c>
      <c r="H503" s="20">
        <v>0.26400000000000001</v>
      </c>
      <c r="I503" s="21">
        <f t="shared" si="113"/>
        <v>13.74</v>
      </c>
      <c r="J503" s="62">
        <f t="shared" si="114"/>
        <v>1839.79</v>
      </c>
    </row>
    <row r="504" spans="1:10" ht="25.5" x14ac:dyDescent="0.2">
      <c r="A504" s="70" t="s">
        <v>701</v>
      </c>
      <c r="B504" s="16" t="s">
        <v>22</v>
      </c>
      <c r="C504" s="29">
        <v>104920</v>
      </c>
      <c r="D504" s="30" t="s">
        <v>642</v>
      </c>
      <c r="E504" s="29" t="s">
        <v>361</v>
      </c>
      <c r="F504" s="31">
        <v>206</v>
      </c>
      <c r="G504" s="19">
        <v>9.2140000000000004</v>
      </c>
      <c r="H504" s="20">
        <v>0.26400000000000001</v>
      </c>
      <c r="I504" s="21">
        <f t="shared" si="113"/>
        <v>11.65</v>
      </c>
      <c r="J504" s="62">
        <f t="shared" si="114"/>
        <v>2399.9</v>
      </c>
    </row>
    <row r="505" spans="1:10" x14ac:dyDescent="0.2">
      <c r="A505" s="70" t="s">
        <v>702</v>
      </c>
      <c r="B505" s="16" t="s">
        <v>22</v>
      </c>
      <c r="C505" s="29">
        <v>96558</v>
      </c>
      <c r="D505" s="30" t="s">
        <v>365</v>
      </c>
      <c r="E505" s="29" t="s">
        <v>51</v>
      </c>
      <c r="F505" s="31">
        <v>15.5</v>
      </c>
      <c r="G505" s="19">
        <v>736.83100000000002</v>
      </c>
      <c r="H505" s="20">
        <v>0.26400000000000001</v>
      </c>
      <c r="I505" s="21">
        <f t="shared" si="113"/>
        <v>931.35</v>
      </c>
      <c r="J505" s="62">
        <f t="shared" si="114"/>
        <v>14435.93</v>
      </c>
    </row>
    <row r="506" spans="1:10" ht="25.5" x14ac:dyDescent="0.2">
      <c r="A506" s="70" t="s">
        <v>703</v>
      </c>
      <c r="B506" s="16" t="s">
        <v>22</v>
      </c>
      <c r="C506" s="29">
        <v>96530</v>
      </c>
      <c r="D506" s="30" t="s">
        <v>363</v>
      </c>
      <c r="E506" s="29" t="s">
        <v>24</v>
      </c>
      <c r="F506" s="31">
        <v>236.07000000000005</v>
      </c>
      <c r="G506" s="19">
        <v>124.2615</v>
      </c>
      <c r="H506" s="20">
        <v>0.26400000000000001</v>
      </c>
      <c r="I506" s="21">
        <f t="shared" si="113"/>
        <v>157.07</v>
      </c>
      <c r="J506" s="62">
        <f t="shared" si="114"/>
        <v>37079.51</v>
      </c>
    </row>
    <row r="507" spans="1:10" x14ac:dyDescent="0.2">
      <c r="A507" s="63"/>
      <c r="B507" s="63"/>
      <c r="C507" s="63"/>
      <c r="D507" s="65" t="s">
        <v>108</v>
      </c>
      <c r="E507" s="63"/>
      <c r="F507" s="66"/>
      <c r="G507" s="67"/>
      <c r="H507" s="68"/>
      <c r="I507" s="69"/>
      <c r="J507" s="61">
        <f>SUM(J499:J506)</f>
        <v>65727.360000000001</v>
      </c>
    </row>
    <row r="508" spans="1:10" x14ac:dyDescent="0.2">
      <c r="A508" s="25" t="s">
        <v>704</v>
      </c>
      <c r="B508" s="25"/>
      <c r="C508" s="25"/>
      <c r="D508" s="26" t="s">
        <v>646</v>
      </c>
      <c r="E508" s="25"/>
      <c r="F508" s="27"/>
      <c r="G508" s="28"/>
      <c r="H508" s="25"/>
      <c r="I508" s="25"/>
      <c r="J508" s="61"/>
    </row>
    <row r="509" spans="1:10" x14ac:dyDescent="0.2">
      <c r="A509" s="16" t="s">
        <v>705</v>
      </c>
      <c r="B509" s="16" t="s">
        <v>22</v>
      </c>
      <c r="C509" s="29">
        <v>92768</v>
      </c>
      <c r="D509" s="30" t="s">
        <v>647</v>
      </c>
      <c r="E509" s="29" t="s">
        <v>361</v>
      </c>
      <c r="F509" s="31">
        <v>468.3</v>
      </c>
      <c r="G509" s="19">
        <v>11.832000000000001</v>
      </c>
      <c r="H509" s="20">
        <v>0.26400000000000001</v>
      </c>
      <c r="I509" s="21">
        <f t="shared" ref="I509:I516" si="115">ROUND((G509*(1+H509)),2)</f>
        <v>14.96</v>
      </c>
      <c r="J509" s="62">
        <f t="shared" ref="J509:J516" si="116">ROUND((I509*F509),2)</f>
        <v>7005.77</v>
      </c>
    </row>
    <row r="510" spans="1:10" x14ac:dyDescent="0.2">
      <c r="A510" s="16" t="s">
        <v>706</v>
      </c>
      <c r="B510" s="16" t="s">
        <v>22</v>
      </c>
      <c r="C510" s="29">
        <v>92769</v>
      </c>
      <c r="D510" s="30" t="s">
        <v>648</v>
      </c>
      <c r="E510" s="29" t="s">
        <v>361</v>
      </c>
      <c r="F510" s="31">
        <v>233.4</v>
      </c>
      <c r="G510" s="19">
        <v>10.778</v>
      </c>
      <c r="H510" s="20">
        <v>0.26400000000000001</v>
      </c>
      <c r="I510" s="21">
        <f t="shared" si="115"/>
        <v>13.62</v>
      </c>
      <c r="J510" s="62">
        <f t="shared" si="116"/>
        <v>3178.91</v>
      </c>
    </row>
    <row r="511" spans="1:10" x14ac:dyDescent="0.2">
      <c r="A511" s="16" t="s">
        <v>707</v>
      </c>
      <c r="B511" s="16" t="s">
        <v>22</v>
      </c>
      <c r="C511" s="29">
        <v>92770</v>
      </c>
      <c r="D511" s="30" t="s">
        <v>649</v>
      </c>
      <c r="E511" s="29" t="s">
        <v>361</v>
      </c>
      <c r="F511" s="31">
        <v>1131.7</v>
      </c>
      <c r="G511" s="19">
        <v>9.8684999999999992</v>
      </c>
      <c r="H511" s="20">
        <v>0.26400000000000001</v>
      </c>
      <c r="I511" s="21">
        <f t="shared" si="115"/>
        <v>12.47</v>
      </c>
      <c r="J511" s="62">
        <f t="shared" si="116"/>
        <v>14112.3</v>
      </c>
    </row>
    <row r="512" spans="1:10" ht="25.5" x14ac:dyDescent="0.2">
      <c r="A512" s="16" t="s">
        <v>708</v>
      </c>
      <c r="B512" s="16" t="s">
        <v>22</v>
      </c>
      <c r="C512" s="29">
        <v>92771</v>
      </c>
      <c r="D512" s="30" t="s">
        <v>650</v>
      </c>
      <c r="E512" s="29" t="s">
        <v>361</v>
      </c>
      <c r="F512" s="31">
        <v>520.5</v>
      </c>
      <c r="G512" s="19">
        <v>8.6785000000000014</v>
      </c>
      <c r="H512" s="20">
        <v>0.26400000000000001</v>
      </c>
      <c r="I512" s="21">
        <f t="shared" si="115"/>
        <v>10.97</v>
      </c>
      <c r="J512" s="62">
        <f t="shared" si="116"/>
        <v>5709.89</v>
      </c>
    </row>
    <row r="513" spans="1:10" ht="25.5" x14ac:dyDescent="0.2">
      <c r="A513" s="16" t="s">
        <v>709</v>
      </c>
      <c r="B513" s="16" t="s">
        <v>22</v>
      </c>
      <c r="C513" s="29">
        <v>92772</v>
      </c>
      <c r="D513" s="30" t="s">
        <v>651</v>
      </c>
      <c r="E513" s="29" t="s">
        <v>361</v>
      </c>
      <c r="F513" s="31">
        <v>605.9</v>
      </c>
      <c r="G513" s="19">
        <v>7.2164999999999999</v>
      </c>
      <c r="H513" s="20">
        <v>0.26400000000000001</v>
      </c>
      <c r="I513" s="21">
        <f t="shared" si="115"/>
        <v>9.1199999999999992</v>
      </c>
      <c r="J513" s="62">
        <f t="shared" si="116"/>
        <v>5525.81</v>
      </c>
    </row>
    <row r="514" spans="1:10" ht="25.5" x14ac:dyDescent="0.2">
      <c r="A514" s="16" t="s">
        <v>710</v>
      </c>
      <c r="B514" s="16" t="s">
        <v>22</v>
      </c>
      <c r="C514" s="29">
        <v>101792</v>
      </c>
      <c r="D514" s="30" t="s">
        <v>652</v>
      </c>
      <c r="E514" s="29" t="s">
        <v>51</v>
      </c>
      <c r="F514" s="31">
        <v>44.8</v>
      </c>
      <c r="G514" s="19">
        <v>18.428000000000001</v>
      </c>
      <c r="H514" s="20">
        <v>0.26400000000000001</v>
      </c>
      <c r="I514" s="21">
        <f t="shared" si="115"/>
        <v>23.29</v>
      </c>
      <c r="J514" s="62">
        <f t="shared" si="116"/>
        <v>1043.3900000000001</v>
      </c>
    </row>
    <row r="515" spans="1:10" ht="25.5" x14ac:dyDescent="0.2">
      <c r="A515" s="16" t="s">
        <v>711</v>
      </c>
      <c r="B515" s="16" t="s">
        <v>22</v>
      </c>
      <c r="C515" s="29">
        <v>92510</v>
      </c>
      <c r="D515" s="33" t="s">
        <v>653</v>
      </c>
      <c r="E515" s="29" t="s">
        <v>24</v>
      </c>
      <c r="F515" s="31">
        <v>298.64</v>
      </c>
      <c r="G515" s="19">
        <v>72.352000000000004</v>
      </c>
      <c r="H515" s="20">
        <v>0.26400000000000001</v>
      </c>
      <c r="I515" s="21">
        <f t="shared" si="115"/>
        <v>91.45</v>
      </c>
      <c r="J515" s="62">
        <f t="shared" si="116"/>
        <v>27310.63</v>
      </c>
    </row>
    <row r="516" spans="1:10" x14ac:dyDescent="0.2">
      <c r="A516" s="16" t="s">
        <v>712</v>
      </c>
      <c r="B516" s="16" t="s">
        <v>22</v>
      </c>
      <c r="C516" s="29">
        <v>97096</v>
      </c>
      <c r="D516" s="30" t="s">
        <v>654</v>
      </c>
      <c r="E516" s="29" t="s">
        <v>51</v>
      </c>
      <c r="F516" s="31">
        <v>44.8</v>
      </c>
      <c r="G516" s="19">
        <v>610.31700000000001</v>
      </c>
      <c r="H516" s="20">
        <v>0.26400000000000001</v>
      </c>
      <c r="I516" s="21">
        <f t="shared" si="115"/>
        <v>771.44</v>
      </c>
      <c r="J516" s="62">
        <f t="shared" si="116"/>
        <v>34560.51</v>
      </c>
    </row>
    <row r="517" spans="1:10" x14ac:dyDescent="0.2">
      <c r="A517" s="63"/>
      <c r="B517" s="63"/>
      <c r="C517" s="64"/>
      <c r="D517" s="65" t="s">
        <v>108</v>
      </c>
      <c r="E517" s="63"/>
      <c r="F517" s="66"/>
      <c r="G517" s="67"/>
      <c r="H517" s="68"/>
      <c r="I517" s="69"/>
      <c r="J517" s="61">
        <f>SUM(J509:J516)</f>
        <v>98447.209999999992</v>
      </c>
    </row>
    <row r="518" spans="1:10" x14ac:dyDescent="0.2">
      <c r="A518" s="25" t="s">
        <v>713</v>
      </c>
      <c r="B518" s="25"/>
      <c r="C518" s="25"/>
      <c r="D518" s="26" t="s">
        <v>655</v>
      </c>
      <c r="E518" s="25"/>
      <c r="F518" s="27"/>
      <c r="G518" s="28"/>
      <c r="H518" s="25"/>
      <c r="I518" s="25"/>
      <c r="J518" s="61"/>
    </row>
    <row r="519" spans="1:10" ht="25.5" x14ac:dyDescent="0.2">
      <c r="A519" s="16" t="s">
        <v>714</v>
      </c>
      <c r="B519" s="16" t="s">
        <v>22</v>
      </c>
      <c r="C519" s="29">
        <v>92759</v>
      </c>
      <c r="D519" s="30" t="s">
        <v>367</v>
      </c>
      <c r="E519" s="29" t="s">
        <v>361</v>
      </c>
      <c r="F519" s="31">
        <v>143.1</v>
      </c>
      <c r="G519" s="19">
        <v>12.427</v>
      </c>
      <c r="H519" s="20">
        <v>0.26400000000000001</v>
      </c>
      <c r="I519" s="21">
        <f t="shared" ref="I519:I528" si="117">ROUND((G519*(1+H519)),2)</f>
        <v>15.71</v>
      </c>
      <c r="J519" s="62">
        <f t="shared" ref="J519:J528" si="118">ROUND((I519*F519),2)</f>
        <v>2248.1</v>
      </c>
    </row>
    <row r="520" spans="1:10" ht="25.5" x14ac:dyDescent="0.2">
      <c r="A520" s="16" t="s">
        <v>715</v>
      </c>
      <c r="B520" s="16" t="s">
        <v>22</v>
      </c>
      <c r="C520" s="29">
        <v>92760</v>
      </c>
      <c r="D520" s="30" t="s">
        <v>656</v>
      </c>
      <c r="E520" s="29" t="s">
        <v>361</v>
      </c>
      <c r="F520" s="31">
        <v>306.70000000000005</v>
      </c>
      <c r="G520" s="19">
        <v>11.339</v>
      </c>
      <c r="H520" s="20">
        <v>0.26400000000000001</v>
      </c>
      <c r="I520" s="21">
        <f t="shared" si="117"/>
        <v>14.33</v>
      </c>
      <c r="J520" s="62">
        <f t="shared" si="118"/>
        <v>4395.01</v>
      </c>
    </row>
    <row r="521" spans="1:10" ht="25.5" x14ac:dyDescent="0.2">
      <c r="A521" s="16" t="s">
        <v>716</v>
      </c>
      <c r="B521" s="16" t="s">
        <v>22</v>
      </c>
      <c r="C521" s="29">
        <v>92761</v>
      </c>
      <c r="D521" s="30" t="s">
        <v>369</v>
      </c>
      <c r="E521" s="29" t="s">
        <v>361</v>
      </c>
      <c r="F521" s="31">
        <v>0</v>
      </c>
      <c r="G521" s="19">
        <v>10.378500000000001</v>
      </c>
      <c r="H521" s="20">
        <v>0.26400000000000001</v>
      </c>
      <c r="I521" s="21">
        <f t="shared" si="117"/>
        <v>13.12</v>
      </c>
      <c r="J521" s="62">
        <f t="shared" si="118"/>
        <v>0</v>
      </c>
    </row>
    <row r="522" spans="1:10" ht="25.5" x14ac:dyDescent="0.2">
      <c r="A522" s="16" t="s">
        <v>717</v>
      </c>
      <c r="B522" s="16" t="s">
        <v>22</v>
      </c>
      <c r="C522" s="29">
        <v>92762</v>
      </c>
      <c r="D522" s="30" t="s">
        <v>371</v>
      </c>
      <c r="E522" s="29" t="s">
        <v>361</v>
      </c>
      <c r="F522" s="31">
        <v>392.5</v>
      </c>
      <c r="G522" s="19">
        <v>9.1374999999999993</v>
      </c>
      <c r="H522" s="20">
        <v>0.26400000000000001</v>
      </c>
      <c r="I522" s="21">
        <f t="shared" si="117"/>
        <v>11.55</v>
      </c>
      <c r="J522" s="62">
        <f t="shared" si="118"/>
        <v>4533.38</v>
      </c>
    </row>
    <row r="523" spans="1:10" ht="25.5" x14ac:dyDescent="0.2">
      <c r="A523" s="16" t="s">
        <v>718</v>
      </c>
      <c r="B523" s="16" t="s">
        <v>22</v>
      </c>
      <c r="C523" s="29">
        <v>92763</v>
      </c>
      <c r="D523" s="30" t="s">
        <v>657</v>
      </c>
      <c r="E523" s="29" t="s">
        <v>361</v>
      </c>
      <c r="F523" s="31">
        <v>91.8</v>
      </c>
      <c r="G523" s="19">
        <v>7.6160000000000005</v>
      </c>
      <c r="H523" s="20">
        <v>0.26400000000000001</v>
      </c>
      <c r="I523" s="21">
        <f t="shared" si="117"/>
        <v>9.6300000000000008</v>
      </c>
      <c r="J523" s="62">
        <f t="shared" si="118"/>
        <v>884.03</v>
      </c>
    </row>
    <row r="524" spans="1:10" ht="25.5" x14ac:dyDescent="0.2">
      <c r="A524" s="16" t="s">
        <v>719</v>
      </c>
      <c r="B524" s="16" t="s">
        <v>22</v>
      </c>
      <c r="C524" s="29">
        <v>92764</v>
      </c>
      <c r="D524" s="30" t="s">
        <v>658</v>
      </c>
      <c r="E524" s="29" t="s">
        <v>361</v>
      </c>
      <c r="F524" s="31">
        <v>367</v>
      </c>
      <c r="G524" s="19">
        <v>7.3014999999999999</v>
      </c>
      <c r="H524" s="20">
        <v>0.26400000000000001</v>
      </c>
      <c r="I524" s="21">
        <f t="shared" si="117"/>
        <v>9.23</v>
      </c>
      <c r="J524" s="62">
        <f t="shared" si="118"/>
        <v>3387.41</v>
      </c>
    </row>
    <row r="525" spans="1:10" ht="25.5" x14ac:dyDescent="0.2">
      <c r="A525" s="16" t="s">
        <v>720</v>
      </c>
      <c r="B525" s="16" t="s">
        <v>22</v>
      </c>
      <c r="C525" s="29">
        <v>92765</v>
      </c>
      <c r="D525" s="30" t="s">
        <v>659</v>
      </c>
      <c r="E525" s="29" t="s">
        <v>361</v>
      </c>
      <c r="F525" s="31">
        <v>72.699999999999989</v>
      </c>
      <c r="G525" s="19">
        <v>8.2279999999999998</v>
      </c>
      <c r="H525" s="20">
        <v>0.26400000000000001</v>
      </c>
      <c r="I525" s="21">
        <f t="shared" si="117"/>
        <v>10.4</v>
      </c>
      <c r="J525" s="62">
        <f t="shared" si="118"/>
        <v>756.08</v>
      </c>
    </row>
    <row r="526" spans="1:10" x14ac:dyDescent="0.2">
      <c r="A526" s="16" t="s">
        <v>721</v>
      </c>
      <c r="B526" s="16" t="s">
        <v>22</v>
      </c>
      <c r="C526" s="29">
        <v>96258</v>
      </c>
      <c r="D526" s="30" t="s">
        <v>660</v>
      </c>
      <c r="E526" s="29" t="s">
        <v>24</v>
      </c>
      <c r="F526" s="31">
        <v>40.21</v>
      </c>
      <c r="G526" s="19">
        <v>138.21850000000001</v>
      </c>
      <c r="H526" s="20">
        <v>0.26400000000000001</v>
      </c>
      <c r="I526" s="21">
        <f t="shared" si="117"/>
        <v>174.71</v>
      </c>
      <c r="J526" s="62">
        <f t="shared" si="118"/>
        <v>7025.09</v>
      </c>
    </row>
    <row r="527" spans="1:10" ht="25.5" x14ac:dyDescent="0.2">
      <c r="A527" s="16" t="s">
        <v>722</v>
      </c>
      <c r="B527" s="16" t="s">
        <v>22</v>
      </c>
      <c r="C527" s="29">
        <v>92415</v>
      </c>
      <c r="D527" s="30" t="s">
        <v>373</v>
      </c>
      <c r="E527" s="29" t="s">
        <v>24</v>
      </c>
      <c r="F527" s="31">
        <v>120.63</v>
      </c>
      <c r="G527" s="19">
        <v>148.036</v>
      </c>
      <c r="H527" s="20">
        <v>0.26400000000000001</v>
      </c>
      <c r="I527" s="21">
        <f t="shared" si="117"/>
        <v>187.12</v>
      </c>
      <c r="J527" s="62">
        <f t="shared" si="118"/>
        <v>22572.29</v>
      </c>
    </row>
    <row r="528" spans="1:10" x14ac:dyDescent="0.2">
      <c r="A528" s="16" t="s">
        <v>723</v>
      </c>
      <c r="B528" s="32" t="s">
        <v>22</v>
      </c>
      <c r="C528" s="32">
        <v>103672</v>
      </c>
      <c r="D528" s="33" t="s">
        <v>375</v>
      </c>
      <c r="E528" s="32" t="s">
        <v>51</v>
      </c>
      <c r="F528" s="18">
        <v>15.919999999999998</v>
      </c>
      <c r="G528" s="19">
        <v>637.22799999999995</v>
      </c>
      <c r="H528" s="35">
        <v>0.26400000000000001</v>
      </c>
      <c r="I528" s="36">
        <f t="shared" si="117"/>
        <v>805.46</v>
      </c>
      <c r="J528" s="71">
        <f t="shared" si="118"/>
        <v>12822.92</v>
      </c>
    </row>
    <row r="529" spans="1:10" x14ac:dyDescent="0.2">
      <c r="A529" s="63"/>
      <c r="B529" s="63"/>
      <c r="C529" s="63"/>
      <c r="D529" s="65" t="s">
        <v>108</v>
      </c>
      <c r="E529" s="63"/>
      <c r="F529" s="66"/>
      <c r="G529" s="67"/>
      <c r="H529" s="68"/>
      <c r="I529" s="69"/>
      <c r="J529" s="61">
        <f>SUM(J519:J528)</f>
        <v>58624.31</v>
      </c>
    </row>
    <row r="530" spans="1:10" x14ac:dyDescent="0.2">
      <c r="A530" s="25" t="s">
        <v>724</v>
      </c>
      <c r="B530" s="25"/>
      <c r="C530" s="25"/>
      <c r="D530" s="26" t="s">
        <v>661</v>
      </c>
      <c r="E530" s="25"/>
      <c r="F530" s="27"/>
      <c r="G530" s="28"/>
      <c r="H530" s="25"/>
      <c r="I530" s="25"/>
      <c r="J530" s="61"/>
    </row>
    <row r="531" spans="1:10" ht="25.5" x14ac:dyDescent="0.2">
      <c r="A531" s="16" t="s">
        <v>725</v>
      </c>
      <c r="B531" s="16" t="s">
        <v>22</v>
      </c>
      <c r="C531" s="29">
        <v>92759</v>
      </c>
      <c r="D531" s="30" t="s">
        <v>367</v>
      </c>
      <c r="E531" s="29" t="s">
        <v>361</v>
      </c>
      <c r="F531" s="31">
        <v>242.5</v>
      </c>
      <c r="G531" s="19">
        <v>12.427</v>
      </c>
      <c r="H531" s="20">
        <v>0.26400000000000001</v>
      </c>
      <c r="I531" s="21">
        <f t="shared" ref="I531:I539" si="119">ROUND((G531*(1+H531)),2)</f>
        <v>15.71</v>
      </c>
      <c r="J531" s="62">
        <f t="shared" ref="J531:J539" si="120">ROUND((I531*F531),2)</f>
        <v>3809.68</v>
      </c>
    </row>
    <row r="532" spans="1:10" ht="25.5" x14ac:dyDescent="0.2">
      <c r="A532" s="16" t="s">
        <v>726</v>
      </c>
      <c r="B532" s="16" t="s">
        <v>22</v>
      </c>
      <c r="C532" s="29">
        <v>92760</v>
      </c>
      <c r="D532" s="30" t="s">
        <v>656</v>
      </c>
      <c r="E532" s="29" t="s">
        <v>361</v>
      </c>
      <c r="F532" s="31">
        <v>381.9</v>
      </c>
      <c r="G532" s="19">
        <v>11.339</v>
      </c>
      <c r="H532" s="20">
        <v>0.26400000000000001</v>
      </c>
      <c r="I532" s="21">
        <f t="shared" si="119"/>
        <v>14.33</v>
      </c>
      <c r="J532" s="62">
        <f t="shared" si="120"/>
        <v>5472.63</v>
      </c>
    </row>
    <row r="533" spans="1:10" ht="25.5" x14ac:dyDescent="0.2">
      <c r="A533" s="16" t="s">
        <v>727</v>
      </c>
      <c r="B533" s="16" t="s">
        <v>22</v>
      </c>
      <c r="C533" s="29">
        <v>92761</v>
      </c>
      <c r="D533" s="30" t="s">
        <v>369</v>
      </c>
      <c r="E533" s="29" t="s">
        <v>361</v>
      </c>
      <c r="F533" s="31">
        <v>228.2</v>
      </c>
      <c r="G533" s="19">
        <v>10.378500000000001</v>
      </c>
      <c r="H533" s="20">
        <v>0.26400000000000001</v>
      </c>
      <c r="I533" s="21">
        <f t="shared" si="119"/>
        <v>13.12</v>
      </c>
      <c r="J533" s="62">
        <f t="shared" si="120"/>
        <v>2993.98</v>
      </c>
    </row>
    <row r="534" spans="1:10" ht="25.5" x14ac:dyDescent="0.2">
      <c r="A534" s="16" t="s">
        <v>728</v>
      </c>
      <c r="B534" s="16" t="s">
        <v>22</v>
      </c>
      <c r="C534" s="29">
        <v>92762</v>
      </c>
      <c r="D534" s="30" t="s">
        <v>371</v>
      </c>
      <c r="E534" s="29" t="s">
        <v>361</v>
      </c>
      <c r="F534" s="31">
        <v>228.1</v>
      </c>
      <c r="G534" s="19">
        <v>9.1374999999999993</v>
      </c>
      <c r="H534" s="20">
        <v>0.26400000000000001</v>
      </c>
      <c r="I534" s="21">
        <f t="shared" si="119"/>
        <v>11.55</v>
      </c>
      <c r="J534" s="62">
        <f t="shared" si="120"/>
        <v>2634.56</v>
      </c>
    </row>
    <row r="535" spans="1:10" ht="25.5" x14ac:dyDescent="0.2">
      <c r="A535" s="16" t="s">
        <v>729</v>
      </c>
      <c r="B535" s="16" t="s">
        <v>22</v>
      </c>
      <c r="C535" s="29">
        <v>92763</v>
      </c>
      <c r="D535" s="30" t="s">
        <v>657</v>
      </c>
      <c r="E535" s="29" t="s">
        <v>361</v>
      </c>
      <c r="F535" s="31">
        <v>630.29999999999995</v>
      </c>
      <c r="G535" s="19">
        <v>7.6160000000000005</v>
      </c>
      <c r="H535" s="20">
        <v>0.26400000000000001</v>
      </c>
      <c r="I535" s="21">
        <f t="shared" si="119"/>
        <v>9.6300000000000008</v>
      </c>
      <c r="J535" s="62">
        <f t="shared" si="120"/>
        <v>6069.79</v>
      </c>
    </row>
    <row r="536" spans="1:10" ht="25.5" x14ac:dyDescent="0.2">
      <c r="A536" s="16" t="s">
        <v>730</v>
      </c>
      <c r="B536" s="16" t="s">
        <v>22</v>
      </c>
      <c r="C536" s="29">
        <v>92764</v>
      </c>
      <c r="D536" s="30" t="s">
        <v>658</v>
      </c>
      <c r="E536" s="29" t="s">
        <v>361</v>
      </c>
      <c r="F536" s="31">
        <v>18</v>
      </c>
      <c r="G536" s="19">
        <v>7.3014999999999999</v>
      </c>
      <c r="H536" s="20">
        <v>0.26400000000000001</v>
      </c>
      <c r="I536" s="21">
        <f t="shared" si="119"/>
        <v>9.23</v>
      </c>
      <c r="J536" s="62">
        <f t="shared" si="120"/>
        <v>166.14</v>
      </c>
    </row>
    <row r="537" spans="1:10" ht="25.5" x14ac:dyDescent="0.2">
      <c r="A537" s="16" t="s">
        <v>731</v>
      </c>
      <c r="B537" s="16" t="s">
        <v>22</v>
      </c>
      <c r="C537" s="29">
        <v>92765</v>
      </c>
      <c r="D537" s="30" t="s">
        <v>659</v>
      </c>
      <c r="E537" s="29" t="s">
        <v>361</v>
      </c>
      <c r="F537" s="31">
        <v>0</v>
      </c>
      <c r="G537" s="19">
        <v>8.2279999999999998</v>
      </c>
      <c r="H537" s="20">
        <v>0.26400000000000001</v>
      </c>
      <c r="I537" s="21">
        <f t="shared" si="119"/>
        <v>10.4</v>
      </c>
      <c r="J537" s="62">
        <f t="shared" si="120"/>
        <v>0</v>
      </c>
    </row>
    <row r="538" spans="1:10" ht="25.5" x14ac:dyDescent="0.2">
      <c r="A538" s="16" t="s">
        <v>732</v>
      </c>
      <c r="B538" s="32" t="s">
        <v>22</v>
      </c>
      <c r="C538" s="32">
        <v>92452</v>
      </c>
      <c r="D538" s="33" t="s">
        <v>662</v>
      </c>
      <c r="E538" s="32" t="s">
        <v>24</v>
      </c>
      <c r="F538" s="72">
        <v>291.45</v>
      </c>
      <c r="G538" s="19">
        <v>212.93349999999998</v>
      </c>
      <c r="H538" s="35">
        <v>0.26400000000000001</v>
      </c>
      <c r="I538" s="36">
        <f t="shared" si="119"/>
        <v>269.14999999999998</v>
      </c>
      <c r="J538" s="71">
        <f t="shared" si="120"/>
        <v>78443.77</v>
      </c>
    </row>
    <row r="539" spans="1:10" ht="25.5" x14ac:dyDescent="0.2">
      <c r="A539" s="16" t="s">
        <v>733</v>
      </c>
      <c r="B539" s="32" t="s">
        <v>22</v>
      </c>
      <c r="C539" s="32">
        <v>103675</v>
      </c>
      <c r="D539" s="33" t="s">
        <v>663</v>
      </c>
      <c r="E539" s="32" t="s">
        <v>51</v>
      </c>
      <c r="F539" s="72">
        <v>20.46</v>
      </c>
      <c r="G539" s="19">
        <v>638.46900000000005</v>
      </c>
      <c r="H539" s="35">
        <v>0.26400000000000001</v>
      </c>
      <c r="I539" s="36">
        <f t="shared" si="119"/>
        <v>807.02</v>
      </c>
      <c r="J539" s="71">
        <f t="shared" si="120"/>
        <v>16511.63</v>
      </c>
    </row>
    <row r="540" spans="1:10" x14ac:dyDescent="0.2">
      <c r="A540" s="63"/>
      <c r="B540" s="63"/>
      <c r="C540" s="63"/>
      <c r="D540" s="65" t="s">
        <v>108</v>
      </c>
      <c r="E540" s="63"/>
      <c r="F540" s="66"/>
      <c r="G540" s="67"/>
      <c r="H540" s="68"/>
      <c r="I540" s="69"/>
      <c r="J540" s="61">
        <f>SUM(J531:J539)</f>
        <v>116102.18000000001</v>
      </c>
    </row>
    <row r="541" spans="1:10" x14ac:dyDescent="0.2">
      <c r="A541" s="25" t="s">
        <v>734</v>
      </c>
      <c r="B541" s="25"/>
      <c r="C541" s="25"/>
      <c r="D541" s="26" t="s">
        <v>664</v>
      </c>
      <c r="E541" s="25"/>
      <c r="F541" s="27"/>
      <c r="G541" s="28"/>
      <c r="H541" s="25"/>
      <c r="I541" s="25"/>
      <c r="J541" s="61"/>
    </row>
    <row r="542" spans="1:10" ht="25.5" x14ac:dyDescent="0.2">
      <c r="A542" s="16" t="s">
        <v>735</v>
      </c>
      <c r="B542" s="16" t="s">
        <v>22</v>
      </c>
      <c r="C542" s="16">
        <v>95943</v>
      </c>
      <c r="D542" s="73" t="s">
        <v>665</v>
      </c>
      <c r="E542" s="29" t="s">
        <v>361</v>
      </c>
      <c r="F542" s="31">
        <v>3.2</v>
      </c>
      <c r="G542" s="19">
        <v>20.714500000000001</v>
      </c>
      <c r="H542" s="20">
        <v>0.26400000000000001</v>
      </c>
      <c r="I542" s="21">
        <f t="shared" ref="I542:I547" si="121">ROUND((G542*(1+H542)),2)</f>
        <v>26.18</v>
      </c>
      <c r="J542" s="62">
        <f t="shared" ref="J542:J547" si="122">ROUND((I542*F542),2)</f>
        <v>83.78</v>
      </c>
    </row>
    <row r="543" spans="1:10" ht="25.5" x14ac:dyDescent="0.2">
      <c r="A543" s="16" t="s">
        <v>736</v>
      </c>
      <c r="B543" s="16" t="s">
        <v>22</v>
      </c>
      <c r="C543" s="16">
        <v>95944</v>
      </c>
      <c r="D543" s="74" t="s">
        <v>666</v>
      </c>
      <c r="E543" s="29" t="s">
        <v>361</v>
      </c>
      <c r="F543" s="75">
        <v>10.5</v>
      </c>
      <c r="G543" s="19">
        <v>18.317500000000003</v>
      </c>
      <c r="H543" s="20">
        <v>0.26400000000000001</v>
      </c>
      <c r="I543" s="21">
        <f t="shared" si="121"/>
        <v>23.15</v>
      </c>
      <c r="J543" s="62">
        <f t="shared" si="122"/>
        <v>243.08</v>
      </c>
    </row>
    <row r="544" spans="1:10" ht="25.5" x14ac:dyDescent="0.2">
      <c r="A544" s="16" t="s">
        <v>737</v>
      </c>
      <c r="B544" s="16" t="s">
        <v>22</v>
      </c>
      <c r="C544" s="16">
        <v>95945</v>
      </c>
      <c r="D544" s="74" t="s">
        <v>667</v>
      </c>
      <c r="E544" s="29" t="s">
        <v>361</v>
      </c>
      <c r="F544" s="75">
        <v>81.400000000000006</v>
      </c>
      <c r="G544" s="19">
        <v>14.186500000000001</v>
      </c>
      <c r="H544" s="20">
        <v>0.26400000000000001</v>
      </c>
      <c r="I544" s="21">
        <f t="shared" si="121"/>
        <v>17.93</v>
      </c>
      <c r="J544" s="62">
        <f t="shared" si="122"/>
        <v>1459.5</v>
      </c>
    </row>
    <row r="545" spans="1:10" ht="25.5" x14ac:dyDescent="0.2">
      <c r="A545" s="16" t="s">
        <v>738</v>
      </c>
      <c r="B545" s="16" t="s">
        <v>22</v>
      </c>
      <c r="C545" s="16">
        <v>95946</v>
      </c>
      <c r="D545" s="74" t="s">
        <v>668</v>
      </c>
      <c r="E545" s="29" t="s">
        <v>361</v>
      </c>
      <c r="F545" s="75">
        <v>26.7</v>
      </c>
      <c r="G545" s="19">
        <v>10.88</v>
      </c>
      <c r="H545" s="20">
        <v>0.26400000000000001</v>
      </c>
      <c r="I545" s="21">
        <f t="shared" si="121"/>
        <v>13.75</v>
      </c>
      <c r="J545" s="62">
        <f t="shared" si="122"/>
        <v>367.13</v>
      </c>
    </row>
    <row r="546" spans="1:10" ht="25.5" x14ac:dyDescent="0.2">
      <c r="A546" s="16" t="s">
        <v>739</v>
      </c>
      <c r="B546" s="16" t="s">
        <v>22</v>
      </c>
      <c r="C546" s="16">
        <v>101986</v>
      </c>
      <c r="D546" s="74" t="s">
        <v>669</v>
      </c>
      <c r="E546" s="29" t="s">
        <v>24</v>
      </c>
      <c r="F546" s="75">
        <v>26.74</v>
      </c>
      <c r="G546" s="19">
        <v>137.01999999999998</v>
      </c>
      <c r="H546" s="20">
        <v>0.26400000000000001</v>
      </c>
      <c r="I546" s="21">
        <f t="shared" si="121"/>
        <v>173.19</v>
      </c>
      <c r="J546" s="62">
        <f t="shared" si="122"/>
        <v>4631.1000000000004</v>
      </c>
    </row>
    <row r="547" spans="1:10" x14ac:dyDescent="0.2">
      <c r="A547" s="16" t="s">
        <v>740</v>
      </c>
      <c r="B547" s="32" t="s">
        <v>22</v>
      </c>
      <c r="C547" s="32">
        <v>103686</v>
      </c>
      <c r="D547" s="42" t="s">
        <v>670</v>
      </c>
      <c r="E547" s="32" t="s">
        <v>51</v>
      </c>
      <c r="F547" s="75">
        <v>3.34</v>
      </c>
      <c r="G547" s="19">
        <v>707.25099999999998</v>
      </c>
      <c r="H547" s="35">
        <v>0.26400000000000001</v>
      </c>
      <c r="I547" s="36">
        <f t="shared" si="121"/>
        <v>893.97</v>
      </c>
      <c r="J547" s="71">
        <f t="shared" si="122"/>
        <v>2985.86</v>
      </c>
    </row>
    <row r="548" spans="1:10" x14ac:dyDescent="0.2">
      <c r="A548" s="63"/>
      <c r="B548" s="63"/>
      <c r="C548" s="63"/>
      <c r="D548" s="65" t="s">
        <v>108</v>
      </c>
      <c r="E548" s="63"/>
      <c r="F548" s="66"/>
      <c r="G548" s="67"/>
      <c r="H548" s="68"/>
      <c r="I548" s="69"/>
      <c r="J548" s="61">
        <f>SUM(J542:J547)</f>
        <v>9770.4500000000007</v>
      </c>
    </row>
    <row r="549" spans="1:10" x14ac:dyDescent="0.2">
      <c r="A549" s="25" t="s">
        <v>741</v>
      </c>
      <c r="B549" s="25"/>
      <c r="C549" s="25"/>
      <c r="D549" s="26" t="s">
        <v>671</v>
      </c>
      <c r="E549" s="25"/>
      <c r="F549" s="27"/>
      <c r="G549" s="28"/>
      <c r="H549" s="25"/>
      <c r="I549" s="25"/>
      <c r="J549" s="61"/>
    </row>
    <row r="550" spans="1:10" x14ac:dyDescent="0.2">
      <c r="A550" s="16" t="s">
        <v>742</v>
      </c>
      <c r="B550" s="16" t="s">
        <v>22</v>
      </c>
      <c r="C550" s="29">
        <v>92768</v>
      </c>
      <c r="D550" s="30" t="s">
        <v>647</v>
      </c>
      <c r="E550" s="29" t="s">
        <v>361</v>
      </c>
      <c r="F550" s="31">
        <v>44.5</v>
      </c>
      <c r="G550" s="19">
        <v>11.832000000000001</v>
      </c>
      <c r="H550" s="20">
        <v>0.26400000000000001</v>
      </c>
      <c r="I550" s="21">
        <f t="shared" ref="I550:I557" si="123">ROUND((G550*(1+H550)),2)</f>
        <v>14.96</v>
      </c>
      <c r="J550" s="62">
        <f t="shared" ref="J550:J557" si="124">ROUND((I550*F550),2)</f>
        <v>665.72</v>
      </c>
    </row>
    <row r="551" spans="1:10" x14ac:dyDescent="0.2">
      <c r="A551" s="16" t="s">
        <v>743</v>
      </c>
      <c r="B551" s="16" t="s">
        <v>22</v>
      </c>
      <c r="C551" s="29">
        <v>92769</v>
      </c>
      <c r="D551" s="30" t="s">
        <v>648</v>
      </c>
      <c r="E551" s="29" t="s">
        <v>361</v>
      </c>
      <c r="F551" s="31">
        <v>0</v>
      </c>
      <c r="G551" s="19">
        <v>10.778</v>
      </c>
      <c r="H551" s="20">
        <v>0.26400000000000001</v>
      </c>
      <c r="I551" s="21">
        <f t="shared" si="123"/>
        <v>13.62</v>
      </c>
      <c r="J551" s="62">
        <f t="shared" si="124"/>
        <v>0</v>
      </c>
    </row>
    <row r="552" spans="1:10" x14ac:dyDescent="0.2">
      <c r="A552" s="16" t="s">
        <v>744</v>
      </c>
      <c r="B552" s="16" t="s">
        <v>22</v>
      </c>
      <c r="C552" s="29">
        <v>92770</v>
      </c>
      <c r="D552" s="30" t="s">
        <v>649</v>
      </c>
      <c r="E552" s="29" t="s">
        <v>361</v>
      </c>
      <c r="F552" s="31">
        <v>0</v>
      </c>
      <c r="G552" s="19">
        <v>9.8684999999999992</v>
      </c>
      <c r="H552" s="20">
        <v>0.26400000000000001</v>
      </c>
      <c r="I552" s="21">
        <f t="shared" si="123"/>
        <v>12.47</v>
      </c>
      <c r="J552" s="62">
        <f t="shared" si="124"/>
        <v>0</v>
      </c>
    </row>
    <row r="553" spans="1:10" ht="25.5" x14ac:dyDescent="0.2">
      <c r="A553" s="16" t="s">
        <v>745</v>
      </c>
      <c r="B553" s="16" t="s">
        <v>22</v>
      </c>
      <c r="C553" s="29">
        <v>92771</v>
      </c>
      <c r="D553" s="30" t="s">
        <v>650</v>
      </c>
      <c r="E553" s="29" t="s">
        <v>361</v>
      </c>
      <c r="F553" s="31">
        <v>151.19999999999999</v>
      </c>
      <c r="G553" s="19">
        <v>8.6785000000000014</v>
      </c>
      <c r="H553" s="20">
        <v>0.26400000000000001</v>
      </c>
      <c r="I553" s="21">
        <f t="shared" si="123"/>
        <v>10.97</v>
      </c>
      <c r="J553" s="62">
        <f t="shared" si="124"/>
        <v>1658.66</v>
      </c>
    </row>
    <row r="554" spans="1:10" ht="25.5" x14ac:dyDescent="0.2">
      <c r="A554" s="16" t="s">
        <v>746</v>
      </c>
      <c r="B554" s="16" t="s">
        <v>22</v>
      </c>
      <c r="C554" s="29">
        <v>92772</v>
      </c>
      <c r="D554" s="30" t="s">
        <v>651</v>
      </c>
      <c r="E554" s="29" t="s">
        <v>361</v>
      </c>
      <c r="F554" s="31">
        <v>0</v>
      </c>
      <c r="G554" s="19">
        <v>7.2164999999999999</v>
      </c>
      <c r="H554" s="20">
        <v>0.26400000000000001</v>
      </c>
      <c r="I554" s="21">
        <f t="shared" si="123"/>
        <v>9.1199999999999992</v>
      </c>
      <c r="J554" s="62">
        <f t="shared" si="124"/>
        <v>0</v>
      </c>
    </row>
    <row r="555" spans="1:10" ht="25.5" x14ac:dyDescent="0.2">
      <c r="A555" s="16" t="s">
        <v>747</v>
      </c>
      <c r="B555" s="16" t="s">
        <v>22</v>
      </c>
      <c r="C555" s="29">
        <v>101792</v>
      </c>
      <c r="D555" s="30" t="s">
        <v>652</v>
      </c>
      <c r="E555" s="29" t="s">
        <v>51</v>
      </c>
      <c r="F555" s="31">
        <v>3.84</v>
      </c>
      <c r="G555" s="19">
        <v>18.428000000000001</v>
      </c>
      <c r="H555" s="20">
        <v>0.26400000000000001</v>
      </c>
      <c r="I555" s="21">
        <f t="shared" si="123"/>
        <v>23.29</v>
      </c>
      <c r="J555" s="62">
        <f t="shared" si="124"/>
        <v>89.43</v>
      </c>
    </row>
    <row r="556" spans="1:10" ht="25.5" x14ac:dyDescent="0.2">
      <c r="A556" s="16" t="s">
        <v>748</v>
      </c>
      <c r="B556" s="16" t="s">
        <v>22</v>
      </c>
      <c r="C556" s="29">
        <v>92510</v>
      </c>
      <c r="D556" s="33" t="s">
        <v>653</v>
      </c>
      <c r="E556" s="29" t="s">
        <v>24</v>
      </c>
      <c r="F556" s="31">
        <v>21.34</v>
      </c>
      <c r="G556" s="19">
        <v>72.352000000000004</v>
      </c>
      <c r="H556" s="20">
        <v>0.26400000000000001</v>
      </c>
      <c r="I556" s="21">
        <f t="shared" si="123"/>
        <v>91.45</v>
      </c>
      <c r="J556" s="62">
        <f t="shared" si="124"/>
        <v>1951.54</v>
      </c>
    </row>
    <row r="557" spans="1:10" x14ac:dyDescent="0.2">
      <c r="A557" s="16" t="s">
        <v>749</v>
      </c>
      <c r="B557" s="16" t="s">
        <v>22</v>
      </c>
      <c r="C557" s="29">
        <v>97096</v>
      </c>
      <c r="D557" s="30" t="s">
        <v>654</v>
      </c>
      <c r="E557" s="29" t="s">
        <v>51</v>
      </c>
      <c r="F557" s="31">
        <v>3.84</v>
      </c>
      <c r="G557" s="19">
        <v>610.31700000000001</v>
      </c>
      <c r="H557" s="20">
        <v>0.26400000000000001</v>
      </c>
      <c r="I557" s="21">
        <f t="shared" si="123"/>
        <v>771.44</v>
      </c>
      <c r="J557" s="62">
        <f t="shared" si="124"/>
        <v>2962.33</v>
      </c>
    </row>
    <row r="558" spans="1:10" x14ac:dyDescent="0.2">
      <c r="A558" s="63"/>
      <c r="B558" s="63"/>
      <c r="C558" s="64"/>
      <c r="D558" s="65" t="s">
        <v>108</v>
      </c>
      <c r="E558" s="63"/>
      <c r="F558" s="66"/>
      <c r="G558" s="67"/>
      <c r="H558" s="68"/>
      <c r="I558" s="69"/>
      <c r="J558" s="61">
        <f>SUM(J550:J557)</f>
        <v>7327.68</v>
      </c>
    </row>
    <row r="559" spans="1:10" x14ac:dyDescent="0.2">
      <c r="A559" s="25" t="s">
        <v>750</v>
      </c>
      <c r="B559" s="25"/>
      <c r="C559" s="25"/>
      <c r="D559" s="26" t="s">
        <v>672</v>
      </c>
      <c r="E559" s="25"/>
      <c r="F559" s="27"/>
      <c r="G559" s="28"/>
      <c r="H559" s="25"/>
      <c r="I559" s="25"/>
      <c r="J559" s="61"/>
    </row>
    <row r="560" spans="1:10" ht="25.5" x14ac:dyDescent="0.2">
      <c r="A560" s="16" t="s">
        <v>751</v>
      </c>
      <c r="B560" s="16" t="s">
        <v>22</v>
      </c>
      <c r="C560" s="29">
        <v>92759</v>
      </c>
      <c r="D560" s="30" t="s">
        <v>367</v>
      </c>
      <c r="E560" s="29" t="s">
        <v>361</v>
      </c>
      <c r="F560" s="31">
        <v>83.7</v>
      </c>
      <c r="G560" s="19">
        <v>12.427</v>
      </c>
      <c r="H560" s="20">
        <v>0.26400000000000001</v>
      </c>
      <c r="I560" s="21">
        <f t="shared" ref="I560:I568" si="125">ROUND((G560*(1+H560)),2)</f>
        <v>15.71</v>
      </c>
      <c r="J560" s="62">
        <f t="shared" ref="J560:J568" si="126">ROUND((I560*F560),2)</f>
        <v>1314.93</v>
      </c>
    </row>
    <row r="561" spans="1:10" ht="25.5" x14ac:dyDescent="0.2">
      <c r="A561" s="16" t="s">
        <v>752</v>
      </c>
      <c r="B561" s="16" t="s">
        <v>22</v>
      </c>
      <c r="C561" s="29">
        <v>92760</v>
      </c>
      <c r="D561" s="30" t="s">
        <v>656</v>
      </c>
      <c r="E561" s="29" t="s">
        <v>361</v>
      </c>
      <c r="F561" s="31">
        <v>0</v>
      </c>
      <c r="G561" s="19">
        <v>11.339</v>
      </c>
      <c r="H561" s="20">
        <v>0.26400000000000001</v>
      </c>
      <c r="I561" s="21">
        <f t="shared" si="125"/>
        <v>14.33</v>
      </c>
      <c r="J561" s="62">
        <f t="shared" si="126"/>
        <v>0</v>
      </c>
    </row>
    <row r="562" spans="1:10" ht="25.5" x14ac:dyDescent="0.2">
      <c r="A562" s="16" t="s">
        <v>753</v>
      </c>
      <c r="B562" s="16" t="s">
        <v>22</v>
      </c>
      <c r="C562" s="29">
        <v>92761</v>
      </c>
      <c r="D562" s="30" t="s">
        <v>369</v>
      </c>
      <c r="E562" s="29" t="s">
        <v>361</v>
      </c>
      <c r="F562" s="31">
        <v>0</v>
      </c>
      <c r="G562" s="19">
        <v>10.378500000000001</v>
      </c>
      <c r="H562" s="20">
        <v>0.26400000000000001</v>
      </c>
      <c r="I562" s="21">
        <f t="shared" si="125"/>
        <v>13.12</v>
      </c>
      <c r="J562" s="62">
        <f t="shared" si="126"/>
        <v>0</v>
      </c>
    </row>
    <row r="563" spans="1:10" ht="25.5" x14ac:dyDescent="0.2">
      <c r="A563" s="16" t="s">
        <v>754</v>
      </c>
      <c r="B563" s="16" t="s">
        <v>22</v>
      </c>
      <c r="C563" s="29">
        <v>92762</v>
      </c>
      <c r="D563" s="30" t="s">
        <v>371</v>
      </c>
      <c r="E563" s="29" t="s">
        <v>361</v>
      </c>
      <c r="F563" s="31">
        <v>149.69999999999999</v>
      </c>
      <c r="G563" s="19">
        <v>9.1374999999999993</v>
      </c>
      <c r="H563" s="20">
        <v>0.26400000000000001</v>
      </c>
      <c r="I563" s="21">
        <f t="shared" si="125"/>
        <v>11.55</v>
      </c>
      <c r="J563" s="62">
        <f t="shared" si="126"/>
        <v>1729.04</v>
      </c>
    </row>
    <row r="564" spans="1:10" ht="25.5" x14ac:dyDescent="0.2">
      <c r="A564" s="16" t="s">
        <v>755</v>
      </c>
      <c r="B564" s="16" t="s">
        <v>22</v>
      </c>
      <c r="C564" s="29">
        <v>92763</v>
      </c>
      <c r="D564" s="30" t="s">
        <v>657</v>
      </c>
      <c r="E564" s="29" t="s">
        <v>361</v>
      </c>
      <c r="F564" s="31">
        <v>149.19999999999999</v>
      </c>
      <c r="G564" s="19">
        <v>7.6160000000000005</v>
      </c>
      <c r="H564" s="20">
        <v>0.26400000000000001</v>
      </c>
      <c r="I564" s="21">
        <f t="shared" si="125"/>
        <v>9.6300000000000008</v>
      </c>
      <c r="J564" s="62">
        <f t="shared" si="126"/>
        <v>1436.8</v>
      </c>
    </row>
    <row r="565" spans="1:10" ht="25.5" x14ac:dyDescent="0.2">
      <c r="A565" s="16" t="s">
        <v>756</v>
      </c>
      <c r="B565" s="16" t="s">
        <v>22</v>
      </c>
      <c r="C565" s="29">
        <v>92764</v>
      </c>
      <c r="D565" s="30" t="s">
        <v>658</v>
      </c>
      <c r="E565" s="29" t="s">
        <v>361</v>
      </c>
      <c r="F565" s="31">
        <v>92.5</v>
      </c>
      <c r="G565" s="19">
        <v>7.3014999999999999</v>
      </c>
      <c r="H565" s="20">
        <v>0.26400000000000001</v>
      </c>
      <c r="I565" s="21">
        <f t="shared" si="125"/>
        <v>9.23</v>
      </c>
      <c r="J565" s="62">
        <f t="shared" si="126"/>
        <v>853.78</v>
      </c>
    </row>
    <row r="566" spans="1:10" ht="25.5" x14ac:dyDescent="0.2">
      <c r="A566" s="16" t="s">
        <v>757</v>
      </c>
      <c r="B566" s="16" t="s">
        <v>22</v>
      </c>
      <c r="C566" s="29">
        <v>92765</v>
      </c>
      <c r="D566" s="30" t="s">
        <v>659</v>
      </c>
      <c r="E566" s="29" t="s">
        <v>361</v>
      </c>
      <c r="F566" s="31">
        <v>37.700000000000003</v>
      </c>
      <c r="G566" s="19">
        <v>8.2279999999999998</v>
      </c>
      <c r="H566" s="20">
        <v>0.26400000000000001</v>
      </c>
      <c r="I566" s="21">
        <f t="shared" si="125"/>
        <v>10.4</v>
      </c>
      <c r="J566" s="62">
        <f t="shared" si="126"/>
        <v>392.08</v>
      </c>
    </row>
    <row r="567" spans="1:10" ht="25.5" x14ac:dyDescent="0.2">
      <c r="A567" s="16" t="s">
        <v>758</v>
      </c>
      <c r="B567" s="32" t="s">
        <v>22</v>
      </c>
      <c r="C567" s="32">
        <v>92415</v>
      </c>
      <c r="D567" s="33" t="s">
        <v>373</v>
      </c>
      <c r="E567" s="32" t="s">
        <v>24</v>
      </c>
      <c r="F567" s="18">
        <v>60.7</v>
      </c>
      <c r="G567" s="19">
        <v>148.036</v>
      </c>
      <c r="H567" s="35">
        <v>0.26400000000000001</v>
      </c>
      <c r="I567" s="36">
        <f t="shared" si="125"/>
        <v>187.12</v>
      </c>
      <c r="J567" s="71">
        <f t="shared" si="126"/>
        <v>11358.18</v>
      </c>
    </row>
    <row r="568" spans="1:10" x14ac:dyDescent="0.2">
      <c r="A568" s="16" t="s">
        <v>759</v>
      </c>
      <c r="B568" s="32" t="s">
        <v>22</v>
      </c>
      <c r="C568" s="32">
        <v>103672</v>
      </c>
      <c r="D568" s="33" t="s">
        <v>375</v>
      </c>
      <c r="E568" s="32" t="s">
        <v>51</v>
      </c>
      <c r="F568" s="18">
        <v>3.92</v>
      </c>
      <c r="G568" s="19">
        <v>637.22799999999995</v>
      </c>
      <c r="H568" s="35">
        <v>0.26400000000000001</v>
      </c>
      <c r="I568" s="36">
        <f t="shared" si="125"/>
        <v>805.46</v>
      </c>
      <c r="J568" s="71">
        <f t="shared" si="126"/>
        <v>3157.4</v>
      </c>
    </row>
    <row r="569" spans="1:10" x14ac:dyDescent="0.2">
      <c r="A569" s="63"/>
      <c r="B569" s="63"/>
      <c r="C569" s="63"/>
      <c r="D569" s="65" t="s">
        <v>108</v>
      </c>
      <c r="E569" s="63"/>
      <c r="F569" s="66"/>
      <c r="G569" s="67"/>
      <c r="H569" s="68"/>
      <c r="I569" s="69"/>
      <c r="J569" s="61">
        <f>SUM(J560:J568)</f>
        <v>20242.210000000003</v>
      </c>
    </row>
    <row r="570" spans="1:10" x14ac:dyDescent="0.2">
      <c r="A570" s="25" t="s">
        <v>760</v>
      </c>
      <c r="B570" s="25"/>
      <c r="C570" s="25"/>
      <c r="D570" s="26" t="s">
        <v>673</v>
      </c>
      <c r="E570" s="25"/>
      <c r="F570" s="27"/>
      <c r="G570" s="28"/>
      <c r="H570" s="25"/>
      <c r="I570" s="25"/>
      <c r="J570" s="61"/>
    </row>
    <row r="571" spans="1:10" ht="25.5" x14ac:dyDescent="0.2">
      <c r="A571" s="16" t="s">
        <v>761</v>
      </c>
      <c r="B571" s="16" t="s">
        <v>22</v>
      </c>
      <c r="C571" s="29">
        <v>92759</v>
      </c>
      <c r="D571" s="30" t="s">
        <v>367</v>
      </c>
      <c r="E571" s="29" t="s">
        <v>361</v>
      </c>
      <c r="F571" s="31">
        <v>48.6</v>
      </c>
      <c r="G571" s="19">
        <v>12.427</v>
      </c>
      <c r="H571" s="20">
        <v>0.26400000000000001</v>
      </c>
      <c r="I571" s="21">
        <f t="shared" ref="I571:I579" si="127">ROUND((G571*(1+H571)),2)</f>
        <v>15.71</v>
      </c>
      <c r="J571" s="62">
        <f t="shared" ref="J571:J579" si="128">ROUND((I571*F571),2)</f>
        <v>763.51</v>
      </c>
    </row>
    <row r="572" spans="1:10" ht="25.5" x14ac:dyDescent="0.2">
      <c r="A572" s="16" t="s">
        <v>762</v>
      </c>
      <c r="B572" s="16" t="s">
        <v>22</v>
      </c>
      <c r="C572" s="29">
        <v>92760</v>
      </c>
      <c r="D572" s="30" t="s">
        <v>656</v>
      </c>
      <c r="E572" s="29" t="s">
        <v>361</v>
      </c>
      <c r="F572" s="31">
        <v>22.3</v>
      </c>
      <c r="G572" s="19">
        <v>11.339</v>
      </c>
      <c r="H572" s="20">
        <v>0.26400000000000001</v>
      </c>
      <c r="I572" s="21">
        <f t="shared" si="127"/>
        <v>14.33</v>
      </c>
      <c r="J572" s="62">
        <f t="shared" si="128"/>
        <v>319.56</v>
      </c>
    </row>
    <row r="573" spans="1:10" ht="25.5" x14ac:dyDescent="0.2">
      <c r="A573" s="16" t="s">
        <v>763</v>
      </c>
      <c r="B573" s="16" t="s">
        <v>22</v>
      </c>
      <c r="C573" s="29">
        <v>92761</v>
      </c>
      <c r="D573" s="30" t="s">
        <v>369</v>
      </c>
      <c r="E573" s="29" t="s">
        <v>361</v>
      </c>
      <c r="F573" s="31">
        <v>87.4</v>
      </c>
      <c r="G573" s="19">
        <v>10.378500000000001</v>
      </c>
      <c r="H573" s="20">
        <v>0.26400000000000001</v>
      </c>
      <c r="I573" s="21">
        <f t="shared" si="127"/>
        <v>13.12</v>
      </c>
      <c r="J573" s="62">
        <f t="shared" si="128"/>
        <v>1146.69</v>
      </c>
    </row>
    <row r="574" spans="1:10" ht="25.5" x14ac:dyDescent="0.2">
      <c r="A574" s="16" t="s">
        <v>764</v>
      </c>
      <c r="B574" s="16" t="s">
        <v>22</v>
      </c>
      <c r="C574" s="29">
        <v>92762</v>
      </c>
      <c r="D574" s="30" t="s">
        <v>371</v>
      </c>
      <c r="E574" s="29" t="s">
        <v>361</v>
      </c>
      <c r="F574" s="31">
        <v>38.799999999999997</v>
      </c>
      <c r="G574" s="19">
        <v>9.1374999999999993</v>
      </c>
      <c r="H574" s="20">
        <v>0.26400000000000001</v>
      </c>
      <c r="I574" s="21">
        <f t="shared" si="127"/>
        <v>11.55</v>
      </c>
      <c r="J574" s="62">
        <f t="shared" si="128"/>
        <v>448.14</v>
      </c>
    </row>
    <row r="575" spans="1:10" ht="25.5" x14ac:dyDescent="0.2">
      <c r="A575" s="16" t="s">
        <v>765</v>
      </c>
      <c r="B575" s="16" t="s">
        <v>22</v>
      </c>
      <c r="C575" s="29">
        <v>92763</v>
      </c>
      <c r="D575" s="30" t="s">
        <v>657</v>
      </c>
      <c r="E575" s="29" t="s">
        <v>361</v>
      </c>
      <c r="F575" s="31">
        <v>12.1</v>
      </c>
      <c r="G575" s="19">
        <v>7.6160000000000005</v>
      </c>
      <c r="H575" s="20">
        <v>0.26400000000000001</v>
      </c>
      <c r="I575" s="21">
        <f t="shared" si="127"/>
        <v>9.6300000000000008</v>
      </c>
      <c r="J575" s="62">
        <f t="shared" si="128"/>
        <v>116.52</v>
      </c>
    </row>
    <row r="576" spans="1:10" ht="25.5" x14ac:dyDescent="0.2">
      <c r="A576" s="16" t="s">
        <v>766</v>
      </c>
      <c r="B576" s="16" t="s">
        <v>22</v>
      </c>
      <c r="C576" s="29">
        <v>92764</v>
      </c>
      <c r="D576" s="30" t="s">
        <v>658</v>
      </c>
      <c r="E576" s="29" t="s">
        <v>361</v>
      </c>
      <c r="F576" s="31">
        <v>0</v>
      </c>
      <c r="G576" s="19">
        <v>7.3014999999999999</v>
      </c>
      <c r="H576" s="20">
        <v>0.26400000000000001</v>
      </c>
      <c r="I576" s="21">
        <f t="shared" si="127"/>
        <v>9.23</v>
      </c>
      <c r="J576" s="62">
        <f t="shared" si="128"/>
        <v>0</v>
      </c>
    </row>
    <row r="577" spans="1:10" ht="25.5" x14ac:dyDescent="0.2">
      <c r="A577" s="16" t="s">
        <v>767</v>
      </c>
      <c r="B577" s="16" t="s">
        <v>22</v>
      </c>
      <c r="C577" s="29">
        <v>92765</v>
      </c>
      <c r="D577" s="30" t="s">
        <v>659</v>
      </c>
      <c r="E577" s="29" t="s">
        <v>361</v>
      </c>
      <c r="F577" s="31">
        <v>0</v>
      </c>
      <c r="G577" s="19">
        <v>8.2279999999999998</v>
      </c>
      <c r="H577" s="20">
        <v>0.26400000000000001</v>
      </c>
      <c r="I577" s="21">
        <f t="shared" si="127"/>
        <v>10.4</v>
      </c>
      <c r="J577" s="62">
        <f t="shared" si="128"/>
        <v>0</v>
      </c>
    </row>
    <row r="578" spans="1:10" ht="25.5" x14ac:dyDescent="0.2">
      <c r="A578" s="16" t="s">
        <v>768</v>
      </c>
      <c r="B578" s="32" t="s">
        <v>22</v>
      </c>
      <c r="C578" s="32">
        <v>92452</v>
      </c>
      <c r="D578" s="33" t="s">
        <v>662</v>
      </c>
      <c r="E578" s="32" t="s">
        <v>24</v>
      </c>
      <c r="F578" s="18">
        <v>53.16</v>
      </c>
      <c r="G578" s="19">
        <v>212.93349999999998</v>
      </c>
      <c r="H578" s="35">
        <v>0.26400000000000001</v>
      </c>
      <c r="I578" s="21">
        <f t="shared" si="127"/>
        <v>269.14999999999998</v>
      </c>
      <c r="J578" s="62">
        <f t="shared" si="128"/>
        <v>14308.01</v>
      </c>
    </row>
    <row r="579" spans="1:10" ht="25.5" x14ac:dyDescent="0.2">
      <c r="A579" s="16" t="s">
        <v>769</v>
      </c>
      <c r="B579" s="32" t="s">
        <v>22</v>
      </c>
      <c r="C579" s="32">
        <v>103675</v>
      </c>
      <c r="D579" s="33" t="s">
        <v>663</v>
      </c>
      <c r="E579" s="32" t="s">
        <v>51</v>
      </c>
      <c r="F579" s="18">
        <v>3.32</v>
      </c>
      <c r="G579" s="19">
        <v>638.46900000000005</v>
      </c>
      <c r="H579" s="35">
        <v>0.26400000000000001</v>
      </c>
      <c r="I579" s="36">
        <f t="shared" si="127"/>
        <v>807.02</v>
      </c>
      <c r="J579" s="71">
        <f t="shared" si="128"/>
        <v>2679.31</v>
      </c>
    </row>
    <row r="580" spans="1:10" x14ac:dyDescent="0.2">
      <c r="A580" s="63"/>
      <c r="B580" s="63"/>
      <c r="C580" s="63"/>
      <c r="D580" s="65" t="s">
        <v>108</v>
      </c>
      <c r="E580" s="63"/>
      <c r="F580" s="66"/>
      <c r="G580" s="67"/>
      <c r="H580" s="68"/>
      <c r="I580" s="69"/>
      <c r="J580" s="61">
        <f>SUM(J571:J579)</f>
        <v>19781.740000000002</v>
      </c>
    </row>
    <row r="581" spans="1:10" x14ac:dyDescent="0.2">
      <c r="A581" s="25" t="s">
        <v>770</v>
      </c>
      <c r="B581" s="25"/>
      <c r="C581" s="25"/>
      <c r="D581" s="26" t="s">
        <v>674</v>
      </c>
      <c r="E581" s="25"/>
      <c r="F581" s="27"/>
      <c r="G581" s="28"/>
      <c r="H581" s="25"/>
      <c r="I581" s="25"/>
      <c r="J581" s="61"/>
    </row>
    <row r="582" spans="1:10" x14ac:dyDescent="0.2">
      <c r="A582" s="16" t="s">
        <v>771</v>
      </c>
      <c r="B582" s="16" t="s">
        <v>22</v>
      </c>
      <c r="C582" s="29">
        <v>92768</v>
      </c>
      <c r="D582" s="30" t="s">
        <v>647</v>
      </c>
      <c r="E582" s="29" t="s">
        <v>361</v>
      </c>
      <c r="F582" s="76">
        <v>17.399999999999999</v>
      </c>
      <c r="G582" s="19">
        <v>11.832000000000001</v>
      </c>
      <c r="H582" s="20">
        <v>0.26400000000000001</v>
      </c>
      <c r="I582" s="21">
        <f t="shared" ref="I582:I589" si="129">ROUND((G582*(1+H582)),2)</f>
        <v>14.96</v>
      </c>
      <c r="J582" s="62">
        <f t="shared" ref="J582:J589" si="130">ROUND((I582*F582),2)</f>
        <v>260.3</v>
      </c>
    </row>
    <row r="583" spans="1:10" x14ac:dyDescent="0.2">
      <c r="A583" s="16" t="s">
        <v>772</v>
      </c>
      <c r="B583" s="16" t="s">
        <v>22</v>
      </c>
      <c r="C583" s="29">
        <v>92769</v>
      </c>
      <c r="D583" s="30" t="s">
        <v>648</v>
      </c>
      <c r="E583" s="29" t="s">
        <v>361</v>
      </c>
      <c r="F583" s="76">
        <v>0</v>
      </c>
      <c r="G583" s="19">
        <v>10.778</v>
      </c>
      <c r="H583" s="20">
        <v>0.26400000000000001</v>
      </c>
      <c r="I583" s="21">
        <f t="shared" si="129"/>
        <v>13.62</v>
      </c>
      <c r="J583" s="62">
        <f t="shared" si="130"/>
        <v>0</v>
      </c>
    </row>
    <row r="584" spans="1:10" x14ac:dyDescent="0.2">
      <c r="A584" s="16" t="s">
        <v>773</v>
      </c>
      <c r="B584" s="16" t="s">
        <v>22</v>
      </c>
      <c r="C584" s="29">
        <v>92770</v>
      </c>
      <c r="D584" s="30" t="s">
        <v>649</v>
      </c>
      <c r="E584" s="29" t="s">
        <v>361</v>
      </c>
      <c r="F584" s="76">
        <v>39.1</v>
      </c>
      <c r="G584" s="19">
        <v>9.8684999999999992</v>
      </c>
      <c r="H584" s="20">
        <v>0.26400000000000001</v>
      </c>
      <c r="I584" s="21">
        <f t="shared" si="129"/>
        <v>12.47</v>
      </c>
      <c r="J584" s="62">
        <f t="shared" si="130"/>
        <v>487.58</v>
      </c>
    </row>
    <row r="585" spans="1:10" ht="25.5" x14ac:dyDescent="0.2">
      <c r="A585" s="16" t="s">
        <v>774</v>
      </c>
      <c r="B585" s="16" t="s">
        <v>22</v>
      </c>
      <c r="C585" s="29">
        <v>92771</v>
      </c>
      <c r="D585" s="30" t="s">
        <v>650</v>
      </c>
      <c r="E585" s="29" t="s">
        <v>361</v>
      </c>
      <c r="F585" s="76">
        <v>80.8</v>
      </c>
      <c r="G585" s="19">
        <v>8.6785000000000014</v>
      </c>
      <c r="H585" s="20">
        <v>0.26400000000000001</v>
      </c>
      <c r="I585" s="21">
        <f t="shared" si="129"/>
        <v>10.97</v>
      </c>
      <c r="J585" s="62">
        <f t="shared" si="130"/>
        <v>886.38</v>
      </c>
    </row>
    <row r="586" spans="1:10" ht="25.5" x14ac:dyDescent="0.2">
      <c r="A586" s="16" t="s">
        <v>775</v>
      </c>
      <c r="B586" s="16" t="s">
        <v>22</v>
      </c>
      <c r="C586" s="29">
        <v>92772</v>
      </c>
      <c r="D586" s="30" t="s">
        <v>651</v>
      </c>
      <c r="E586" s="29" t="s">
        <v>361</v>
      </c>
      <c r="F586" s="76">
        <v>230.1</v>
      </c>
      <c r="G586" s="19">
        <v>7.2164999999999999</v>
      </c>
      <c r="H586" s="20">
        <v>0.26400000000000001</v>
      </c>
      <c r="I586" s="21">
        <f t="shared" si="129"/>
        <v>9.1199999999999992</v>
      </c>
      <c r="J586" s="62">
        <f t="shared" si="130"/>
        <v>2098.5100000000002</v>
      </c>
    </row>
    <row r="587" spans="1:10" ht="25.5" x14ac:dyDescent="0.2">
      <c r="A587" s="16" t="s">
        <v>776</v>
      </c>
      <c r="B587" s="16" t="s">
        <v>22</v>
      </c>
      <c r="C587" s="29">
        <v>101792</v>
      </c>
      <c r="D587" s="30" t="s">
        <v>652</v>
      </c>
      <c r="E587" s="29" t="s">
        <v>51</v>
      </c>
      <c r="F587" s="76">
        <v>5.92</v>
      </c>
      <c r="G587" s="19">
        <v>18.428000000000001</v>
      </c>
      <c r="H587" s="20">
        <v>0.26400000000000001</v>
      </c>
      <c r="I587" s="21">
        <f t="shared" si="129"/>
        <v>23.29</v>
      </c>
      <c r="J587" s="62">
        <f t="shared" si="130"/>
        <v>137.88</v>
      </c>
    </row>
    <row r="588" spans="1:10" ht="25.5" x14ac:dyDescent="0.2">
      <c r="A588" s="16" t="s">
        <v>777</v>
      </c>
      <c r="B588" s="16" t="s">
        <v>22</v>
      </c>
      <c r="C588" s="29">
        <v>92510</v>
      </c>
      <c r="D588" s="33" t="s">
        <v>653</v>
      </c>
      <c r="E588" s="29" t="s">
        <v>24</v>
      </c>
      <c r="F588" s="76">
        <v>31.84</v>
      </c>
      <c r="G588" s="19">
        <v>72.352000000000004</v>
      </c>
      <c r="H588" s="20">
        <v>0.26400000000000001</v>
      </c>
      <c r="I588" s="21">
        <f t="shared" si="129"/>
        <v>91.45</v>
      </c>
      <c r="J588" s="62">
        <f t="shared" si="130"/>
        <v>2911.77</v>
      </c>
    </row>
    <row r="589" spans="1:10" x14ac:dyDescent="0.2">
      <c r="A589" s="16" t="s">
        <v>778</v>
      </c>
      <c r="B589" s="16" t="s">
        <v>22</v>
      </c>
      <c r="C589" s="29">
        <v>97096</v>
      </c>
      <c r="D589" s="30" t="s">
        <v>654</v>
      </c>
      <c r="E589" s="29" t="s">
        <v>51</v>
      </c>
      <c r="F589" s="76">
        <v>5.92</v>
      </c>
      <c r="G589" s="19">
        <v>610.31700000000001</v>
      </c>
      <c r="H589" s="20">
        <v>0.26400000000000001</v>
      </c>
      <c r="I589" s="21">
        <f t="shared" si="129"/>
        <v>771.44</v>
      </c>
      <c r="J589" s="62">
        <f t="shared" si="130"/>
        <v>4566.92</v>
      </c>
    </row>
    <row r="590" spans="1:10" x14ac:dyDescent="0.2">
      <c r="A590" s="63"/>
      <c r="B590" s="63"/>
      <c r="C590" s="64"/>
      <c r="D590" s="65" t="s">
        <v>108</v>
      </c>
      <c r="E590" s="63"/>
      <c r="F590" s="66"/>
      <c r="G590" s="67"/>
      <c r="H590" s="68"/>
      <c r="I590" s="69"/>
      <c r="J590" s="61">
        <f>SUM(J582:J589)</f>
        <v>11349.34</v>
      </c>
    </row>
    <row r="591" spans="1:10" x14ac:dyDescent="0.2">
      <c r="A591" s="25" t="s">
        <v>779</v>
      </c>
      <c r="B591" s="25"/>
      <c r="C591" s="25"/>
      <c r="D591" s="26" t="s">
        <v>675</v>
      </c>
      <c r="E591" s="25"/>
      <c r="F591" s="27"/>
      <c r="G591" s="28"/>
      <c r="H591" s="25"/>
      <c r="I591" s="25"/>
      <c r="J591" s="61"/>
    </row>
    <row r="592" spans="1:10" ht="25.5" x14ac:dyDescent="0.2">
      <c r="A592" s="16" t="s">
        <v>780</v>
      </c>
      <c r="B592" s="16" t="s">
        <v>22</v>
      </c>
      <c r="C592" s="29">
        <v>92759</v>
      </c>
      <c r="D592" s="30" t="s">
        <v>367</v>
      </c>
      <c r="E592" s="29" t="s">
        <v>361</v>
      </c>
      <c r="F592" s="31">
        <v>96</v>
      </c>
      <c r="G592" s="19">
        <v>12.427</v>
      </c>
      <c r="H592" s="20">
        <v>0.26400000000000001</v>
      </c>
      <c r="I592" s="21">
        <f t="shared" ref="I592:I600" si="131">ROUND((G592*(1+H592)),2)</f>
        <v>15.71</v>
      </c>
      <c r="J592" s="62">
        <f t="shared" ref="J592:J600" si="132">ROUND((I592*F592),2)</f>
        <v>1508.16</v>
      </c>
    </row>
    <row r="593" spans="1:10" ht="25.5" x14ac:dyDescent="0.2">
      <c r="A593" s="16" t="s">
        <v>781</v>
      </c>
      <c r="B593" s="16" t="s">
        <v>22</v>
      </c>
      <c r="C593" s="29">
        <v>92760</v>
      </c>
      <c r="D593" s="30" t="s">
        <v>656</v>
      </c>
      <c r="E593" s="29" t="s">
        <v>361</v>
      </c>
      <c r="F593" s="31">
        <v>0</v>
      </c>
      <c r="G593" s="19">
        <v>11.339</v>
      </c>
      <c r="H593" s="20">
        <v>0.26400000000000001</v>
      </c>
      <c r="I593" s="21">
        <f t="shared" si="131"/>
        <v>14.33</v>
      </c>
      <c r="J593" s="62">
        <f t="shared" si="132"/>
        <v>0</v>
      </c>
    </row>
    <row r="594" spans="1:10" ht="25.5" x14ac:dyDescent="0.2">
      <c r="A594" s="16" t="s">
        <v>782</v>
      </c>
      <c r="B594" s="16" t="s">
        <v>22</v>
      </c>
      <c r="C594" s="29">
        <v>92761</v>
      </c>
      <c r="D594" s="30" t="s">
        <v>369</v>
      </c>
      <c r="E594" s="29" t="s">
        <v>361</v>
      </c>
      <c r="F594" s="31">
        <v>0</v>
      </c>
      <c r="G594" s="19">
        <v>10.378500000000001</v>
      </c>
      <c r="H594" s="20">
        <v>0.26400000000000001</v>
      </c>
      <c r="I594" s="21">
        <f t="shared" si="131"/>
        <v>13.12</v>
      </c>
      <c r="J594" s="62">
        <f t="shared" si="132"/>
        <v>0</v>
      </c>
    </row>
    <row r="595" spans="1:10" ht="25.5" x14ac:dyDescent="0.2">
      <c r="A595" s="16" t="s">
        <v>783</v>
      </c>
      <c r="B595" s="16" t="s">
        <v>22</v>
      </c>
      <c r="C595" s="29">
        <v>92762</v>
      </c>
      <c r="D595" s="30" t="s">
        <v>371</v>
      </c>
      <c r="E595" s="29" t="s">
        <v>361</v>
      </c>
      <c r="F595" s="31">
        <v>110</v>
      </c>
      <c r="G595" s="19">
        <v>9.1374999999999993</v>
      </c>
      <c r="H595" s="20">
        <v>0.26400000000000001</v>
      </c>
      <c r="I595" s="21">
        <f t="shared" si="131"/>
        <v>11.55</v>
      </c>
      <c r="J595" s="62">
        <f t="shared" si="132"/>
        <v>1270.5</v>
      </c>
    </row>
    <row r="596" spans="1:10" ht="25.5" x14ac:dyDescent="0.2">
      <c r="A596" s="16" t="s">
        <v>784</v>
      </c>
      <c r="B596" s="16" t="s">
        <v>22</v>
      </c>
      <c r="C596" s="29">
        <v>92763</v>
      </c>
      <c r="D596" s="30" t="s">
        <v>657</v>
      </c>
      <c r="E596" s="29" t="s">
        <v>361</v>
      </c>
      <c r="F596" s="31">
        <v>137.1</v>
      </c>
      <c r="G596" s="19">
        <v>7.6160000000000005</v>
      </c>
      <c r="H596" s="20">
        <v>0.26400000000000001</v>
      </c>
      <c r="I596" s="21">
        <f t="shared" si="131"/>
        <v>9.6300000000000008</v>
      </c>
      <c r="J596" s="62">
        <f t="shared" si="132"/>
        <v>1320.27</v>
      </c>
    </row>
    <row r="597" spans="1:10" ht="25.5" x14ac:dyDescent="0.2">
      <c r="A597" s="16" t="s">
        <v>785</v>
      </c>
      <c r="B597" s="16" t="s">
        <v>22</v>
      </c>
      <c r="C597" s="29">
        <v>92764</v>
      </c>
      <c r="D597" s="30" t="s">
        <v>658</v>
      </c>
      <c r="E597" s="29" t="s">
        <v>361</v>
      </c>
      <c r="F597" s="31">
        <v>21.6</v>
      </c>
      <c r="G597" s="19">
        <v>7.3014999999999999</v>
      </c>
      <c r="H597" s="20">
        <v>0.26400000000000001</v>
      </c>
      <c r="I597" s="21">
        <f t="shared" si="131"/>
        <v>9.23</v>
      </c>
      <c r="J597" s="62">
        <f t="shared" si="132"/>
        <v>199.37</v>
      </c>
    </row>
    <row r="598" spans="1:10" ht="25.5" x14ac:dyDescent="0.2">
      <c r="A598" s="16" t="s">
        <v>786</v>
      </c>
      <c r="B598" s="16" t="s">
        <v>22</v>
      </c>
      <c r="C598" s="29">
        <v>92765</v>
      </c>
      <c r="D598" s="30" t="s">
        <v>659</v>
      </c>
      <c r="E598" s="29" t="s">
        <v>361</v>
      </c>
      <c r="F598" s="31">
        <v>0</v>
      </c>
      <c r="G598" s="19">
        <v>8.2279999999999998</v>
      </c>
      <c r="H598" s="20">
        <v>0.26400000000000001</v>
      </c>
      <c r="I598" s="21">
        <f t="shared" si="131"/>
        <v>10.4</v>
      </c>
      <c r="J598" s="62">
        <f t="shared" si="132"/>
        <v>0</v>
      </c>
    </row>
    <row r="599" spans="1:10" ht="25.5" x14ac:dyDescent="0.2">
      <c r="A599" s="16" t="s">
        <v>787</v>
      </c>
      <c r="B599" s="16" t="s">
        <v>22</v>
      </c>
      <c r="C599" s="29">
        <v>92415</v>
      </c>
      <c r="D599" s="30" t="s">
        <v>373</v>
      </c>
      <c r="E599" s="29" t="s">
        <v>24</v>
      </c>
      <c r="F599" s="31">
        <v>63.87</v>
      </c>
      <c r="G599" s="19">
        <v>148.036</v>
      </c>
      <c r="H599" s="20">
        <v>0.26400000000000001</v>
      </c>
      <c r="I599" s="21">
        <f t="shared" si="131"/>
        <v>187.12</v>
      </c>
      <c r="J599" s="62">
        <f t="shared" si="132"/>
        <v>11951.35</v>
      </c>
    </row>
    <row r="600" spans="1:10" x14ac:dyDescent="0.2">
      <c r="A600" s="16" t="s">
        <v>788</v>
      </c>
      <c r="B600" s="32" t="s">
        <v>22</v>
      </c>
      <c r="C600" s="32">
        <v>103672</v>
      </c>
      <c r="D600" s="33" t="s">
        <v>375</v>
      </c>
      <c r="E600" s="32" t="s">
        <v>51</v>
      </c>
      <c r="F600" s="18">
        <v>4.4000000000000004</v>
      </c>
      <c r="G600" s="19">
        <v>637.22799999999995</v>
      </c>
      <c r="H600" s="35">
        <v>0.26400000000000001</v>
      </c>
      <c r="I600" s="36">
        <f t="shared" si="131"/>
        <v>805.46</v>
      </c>
      <c r="J600" s="71">
        <f t="shared" si="132"/>
        <v>3544.02</v>
      </c>
    </row>
    <row r="601" spans="1:10" x14ac:dyDescent="0.2">
      <c r="A601" s="63"/>
      <c r="B601" s="63"/>
      <c r="C601" s="63"/>
      <c r="D601" s="65" t="s">
        <v>108</v>
      </c>
      <c r="E601" s="63"/>
      <c r="F601" s="66"/>
      <c r="G601" s="67"/>
      <c r="H601" s="68"/>
      <c r="I601" s="69"/>
      <c r="J601" s="61">
        <f>SUM(J592:J600)</f>
        <v>19793.670000000002</v>
      </c>
    </row>
    <row r="602" spans="1:10" x14ac:dyDescent="0.2">
      <c r="A602" s="25" t="s">
        <v>790</v>
      </c>
      <c r="B602" s="25"/>
      <c r="C602" s="25"/>
      <c r="D602" s="26" t="s">
        <v>676</v>
      </c>
      <c r="E602" s="25"/>
      <c r="F602" s="27"/>
      <c r="G602" s="28"/>
      <c r="H602" s="25"/>
      <c r="I602" s="25"/>
      <c r="J602" s="61"/>
    </row>
    <row r="603" spans="1:10" ht="25.5" x14ac:dyDescent="0.2">
      <c r="A603" s="16" t="s">
        <v>789</v>
      </c>
      <c r="B603" s="16" t="s">
        <v>22</v>
      </c>
      <c r="C603" s="29">
        <v>92759</v>
      </c>
      <c r="D603" s="30" t="s">
        <v>367</v>
      </c>
      <c r="E603" s="29" t="s">
        <v>361</v>
      </c>
      <c r="F603" s="76">
        <v>168</v>
      </c>
      <c r="G603" s="19">
        <v>12.427</v>
      </c>
      <c r="H603" s="20">
        <v>0.26400000000000001</v>
      </c>
      <c r="I603" s="21">
        <f t="shared" ref="I603:I611" si="133">ROUND((G603*(1+H603)),2)</f>
        <v>15.71</v>
      </c>
      <c r="J603" s="62">
        <f t="shared" ref="J603:J611" si="134">ROUND((I603*F603),2)</f>
        <v>2639.28</v>
      </c>
    </row>
    <row r="604" spans="1:10" ht="25.5" x14ac:dyDescent="0.2">
      <c r="A604" s="16" t="s">
        <v>791</v>
      </c>
      <c r="B604" s="16" t="s">
        <v>22</v>
      </c>
      <c r="C604" s="29">
        <v>92760</v>
      </c>
      <c r="D604" s="30" t="s">
        <v>656</v>
      </c>
      <c r="E604" s="29" t="s">
        <v>361</v>
      </c>
      <c r="F604" s="76">
        <v>3.9</v>
      </c>
      <c r="G604" s="19">
        <v>11.339</v>
      </c>
      <c r="H604" s="20">
        <v>0.26400000000000001</v>
      </c>
      <c r="I604" s="21">
        <f t="shared" si="133"/>
        <v>14.33</v>
      </c>
      <c r="J604" s="62">
        <f t="shared" si="134"/>
        <v>55.89</v>
      </c>
    </row>
    <row r="605" spans="1:10" ht="25.5" x14ac:dyDescent="0.2">
      <c r="A605" s="16" t="s">
        <v>792</v>
      </c>
      <c r="B605" s="16" t="s">
        <v>22</v>
      </c>
      <c r="C605" s="29">
        <v>92761</v>
      </c>
      <c r="D605" s="30" t="s">
        <v>369</v>
      </c>
      <c r="E605" s="29" t="s">
        <v>361</v>
      </c>
      <c r="F605" s="76">
        <v>143.9</v>
      </c>
      <c r="G605" s="19">
        <v>10.378500000000001</v>
      </c>
      <c r="H605" s="20">
        <v>0.26400000000000001</v>
      </c>
      <c r="I605" s="21">
        <f t="shared" si="133"/>
        <v>13.12</v>
      </c>
      <c r="J605" s="62">
        <f t="shared" si="134"/>
        <v>1887.97</v>
      </c>
    </row>
    <row r="606" spans="1:10" ht="25.5" x14ac:dyDescent="0.2">
      <c r="A606" s="16" t="s">
        <v>793</v>
      </c>
      <c r="B606" s="16" t="s">
        <v>22</v>
      </c>
      <c r="C606" s="29">
        <v>92762</v>
      </c>
      <c r="D606" s="30" t="s">
        <v>371</v>
      </c>
      <c r="E606" s="29" t="s">
        <v>361</v>
      </c>
      <c r="F606" s="76">
        <v>205.4</v>
      </c>
      <c r="G606" s="19">
        <v>9.1374999999999993</v>
      </c>
      <c r="H606" s="20">
        <v>0.26400000000000001</v>
      </c>
      <c r="I606" s="21">
        <f t="shared" si="133"/>
        <v>11.55</v>
      </c>
      <c r="J606" s="62">
        <f t="shared" si="134"/>
        <v>2372.37</v>
      </c>
    </row>
    <row r="607" spans="1:10" ht="25.5" x14ac:dyDescent="0.2">
      <c r="A607" s="16" t="s">
        <v>794</v>
      </c>
      <c r="B607" s="16" t="s">
        <v>22</v>
      </c>
      <c r="C607" s="29">
        <v>92763</v>
      </c>
      <c r="D607" s="30" t="s">
        <v>657</v>
      </c>
      <c r="E607" s="29" t="s">
        <v>361</v>
      </c>
      <c r="F607" s="76">
        <v>16.899999999999999</v>
      </c>
      <c r="G607" s="19">
        <v>7.6160000000000005</v>
      </c>
      <c r="H607" s="20">
        <v>0.26400000000000001</v>
      </c>
      <c r="I607" s="21">
        <f t="shared" si="133"/>
        <v>9.6300000000000008</v>
      </c>
      <c r="J607" s="62">
        <f t="shared" si="134"/>
        <v>162.75</v>
      </c>
    </row>
    <row r="608" spans="1:10" ht="25.5" x14ac:dyDescent="0.2">
      <c r="A608" s="16" t="s">
        <v>795</v>
      </c>
      <c r="B608" s="16" t="s">
        <v>22</v>
      </c>
      <c r="C608" s="29">
        <v>92764</v>
      </c>
      <c r="D608" s="30" t="s">
        <v>658</v>
      </c>
      <c r="E608" s="29" t="s">
        <v>361</v>
      </c>
      <c r="F608" s="76">
        <v>0</v>
      </c>
      <c r="G608" s="19">
        <v>7.3014999999999999</v>
      </c>
      <c r="H608" s="20">
        <v>0.26400000000000001</v>
      </c>
      <c r="I608" s="21">
        <f t="shared" si="133"/>
        <v>9.23</v>
      </c>
      <c r="J608" s="62">
        <f t="shared" si="134"/>
        <v>0</v>
      </c>
    </row>
    <row r="609" spans="1:10" ht="25.5" x14ac:dyDescent="0.2">
      <c r="A609" s="16" t="s">
        <v>796</v>
      </c>
      <c r="B609" s="16" t="s">
        <v>22</v>
      </c>
      <c r="C609" s="29">
        <v>92765</v>
      </c>
      <c r="D609" s="30" t="s">
        <v>659</v>
      </c>
      <c r="E609" s="29" t="s">
        <v>361</v>
      </c>
      <c r="F609" s="76">
        <v>0</v>
      </c>
      <c r="G609" s="19">
        <v>8.2279999999999998</v>
      </c>
      <c r="H609" s="20">
        <v>0.26400000000000001</v>
      </c>
      <c r="I609" s="21">
        <f t="shared" si="133"/>
        <v>10.4</v>
      </c>
      <c r="J609" s="62">
        <f t="shared" si="134"/>
        <v>0</v>
      </c>
    </row>
    <row r="610" spans="1:10" ht="25.5" x14ac:dyDescent="0.2">
      <c r="A610" s="16" t="s">
        <v>797</v>
      </c>
      <c r="B610" s="32" t="s">
        <v>22</v>
      </c>
      <c r="C610" s="32">
        <v>92452</v>
      </c>
      <c r="D610" s="33" t="s">
        <v>662</v>
      </c>
      <c r="E610" s="32" t="s">
        <v>24</v>
      </c>
      <c r="F610" s="18">
        <v>100.62</v>
      </c>
      <c r="G610" s="19">
        <v>212.93349999999998</v>
      </c>
      <c r="H610" s="35">
        <v>0.26400000000000001</v>
      </c>
      <c r="I610" s="36">
        <f t="shared" si="133"/>
        <v>269.14999999999998</v>
      </c>
      <c r="J610" s="62">
        <f t="shared" si="134"/>
        <v>27081.87</v>
      </c>
    </row>
    <row r="611" spans="1:10" ht="25.5" x14ac:dyDescent="0.2">
      <c r="A611" s="16" t="s">
        <v>798</v>
      </c>
      <c r="B611" s="32" t="s">
        <v>22</v>
      </c>
      <c r="C611" s="32">
        <v>103675</v>
      </c>
      <c r="D611" s="33" t="s">
        <v>663</v>
      </c>
      <c r="E611" s="32" t="s">
        <v>51</v>
      </c>
      <c r="F611" s="72">
        <v>6.51</v>
      </c>
      <c r="G611" s="19">
        <v>638.46900000000005</v>
      </c>
      <c r="H611" s="35">
        <v>0.26400000000000001</v>
      </c>
      <c r="I611" s="36">
        <f t="shared" si="133"/>
        <v>807.02</v>
      </c>
      <c r="J611" s="71">
        <f t="shared" si="134"/>
        <v>5253.7</v>
      </c>
    </row>
    <row r="612" spans="1:10" x14ac:dyDescent="0.2">
      <c r="A612" s="63"/>
      <c r="B612" s="63"/>
      <c r="C612" s="63"/>
      <c r="D612" s="65" t="s">
        <v>108</v>
      </c>
      <c r="E612" s="63"/>
      <c r="F612" s="66"/>
      <c r="G612" s="67"/>
      <c r="H612" s="68"/>
      <c r="I612" s="69"/>
      <c r="J612" s="61">
        <f>SUM(J603:J611)</f>
        <v>39453.829999999994</v>
      </c>
    </row>
    <row r="613" spans="1:10" x14ac:dyDescent="0.2">
      <c r="A613" s="144" t="s">
        <v>43</v>
      </c>
      <c r="B613" s="145"/>
      <c r="C613" s="145"/>
      <c r="D613" s="145"/>
      <c r="E613" s="145"/>
      <c r="F613" s="145"/>
      <c r="G613" s="145"/>
      <c r="H613" s="145"/>
      <c r="I613" s="146"/>
      <c r="J613" s="60">
        <f>J612+J601+J590+J580+J569++J558+J548+J540+J529+J517+J507+J497</f>
        <v>543411.42999999993</v>
      </c>
    </row>
    <row r="614" spans="1:10" x14ac:dyDescent="0.2">
      <c r="A614" s="12">
        <v>17</v>
      </c>
      <c r="B614" s="12"/>
      <c r="C614" s="12"/>
      <c r="D614" s="13" t="s">
        <v>677</v>
      </c>
      <c r="E614" s="12"/>
      <c r="F614" s="14"/>
      <c r="G614" s="15"/>
      <c r="H614" s="12"/>
      <c r="I614" s="12"/>
      <c r="J614" s="60"/>
    </row>
    <row r="615" spans="1:10" x14ac:dyDescent="0.2">
      <c r="A615" s="25" t="s">
        <v>799</v>
      </c>
      <c r="B615" s="25"/>
      <c r="C615" s="25"/>
      <c r="D615" s="26" t="s">
        <v>637</v>
      </c>
      <c r="E615" s="25"/>
      <c r="F615" s="27"/>
      <c r="G615" s="28"/>
      <c r="H615" s="25"/>
      <c r="I615" s="25"/>
      <c r="J615" s="61"/>
    </row>
    <row r="616" spans="1:10" ht="38.25" x14ac:dyDescent="0.2">
      <c r="A616" s="16" t="s">
        <v>800</v>
      </c>
      <c r="B616" s="16" t="s">
        <v>22</v>
      </c>
      <c r="C616" s="29">
        <v>101207</v>
      </c>
      <c r="D616" s="30" t="s">
        <v>356</v>
      </c>
      <c r="E616" s="29" t="s">
        <v>51</v>
      </c>
      <c r="F616" s="31">
        <v>313.55</v>
      </c>
      <c r="G616" s="19">
        <v>9.9450000000000003</v>
      </c>
      <c r="H616" s="20">
        <v>0.26400000000000001</v>
      </c>
      <c r="I616" s="21">
        <f t="shared" ref="I616:I626" si="135">ROUND((G616*(1+H616)),2)</f>
        <v>12.57</v>
      </c>
      <c r="J616" s="62">
        <f t="shared" ref="J616:J626" si="136">ROUND((I616*F616),2)</f>
        <v>3941.32</v>
      </c>
    </row>
    <row r="617" spans="1:10" x14ac:dyDescent="0.2">
      <c r="A617" s="16" t="s">
        <v>801</v>
      </c>
      <c r="B617" s="16" t="s">
        <v>22</v>
      </c>
      <c r="C617" s="29">
        <v>96622</v>
      </c>
      <c r="D617" s="30" t="s">
        <v>358</v>
      </c>
      <c r="E617" s="29" t="s">
        <v>51</v>
      </c>
      <c r="F617" s="31">
        <v>6.2710000000000008</v>
      </c>
      <c r="G617" s="19">
        <v>204.4845</v>
      </c>
      <c r="H617" s="20">
        <v>0.26400000000000001</v>
      </c>
      <c r="I617" s="21">
        <f t="shared" si="135"/>
        <v>258.47000000000003</v>
      </c>
      <c r="J617" s="62">
        <f t="shared" si="136"/>
        <v>1620.87</v>
      </c>
    </row>
    <row r="618" spans="1:10" x14ac:dyDescent="0.2">
      <c r="A618" s="16" t="s">
        <v>802</v>
      </c>
      <c r="B618" s="16" t="s">
        <v>22</v>
      </c>
      <c r="C618" s="29">
        <v>98557</v>
      </c>
      <c r="D618" s="30" t="s">
        <v>638</v>
      </c>
      <c r="E618" s="29" t="s">
        <v>24</v>
      </c>
      <c r="F618" s="31">
        <v>169.15</v>
      </c>
      <c r="G618" s="19">
        <v>45.628</v>
      </c>
      <c r="H618" s="20">
        <v>0.26400000000000001</v>
      </c>
      <c r="I618" s="21">
        <f t="shared" si="135"/>
        <v>57.67</v>
      </c>
      <c r="J618" s="62">
        <f t="shared" si="136"/>
        <v>9754.8799999999992</v>
      </c>
    </row>
    <row r="619" spans="1:10" x14ac:dyDescent="0.2">
      <c r="A619" s="16" t="s">
        <v>803</v>
      </c>
      <c r="B619" s="16" t="s">
        <v>22</v>
      </c>
      <c r="C619" s="29">
        <v>104916</v>
      </c>
      <c r="D619" s="30" t="s">
        <v>639</v>
      </c>
      <c r="E619" s="29" t="s">
        <v>361</v>
      </c>
      <c r="F619" s="31">
        <v>164.5</v>
      </c>
      <c r="G619" s="19">
        <v>15.1045</v>
      </c>
      <c r="H619" s="20">
        <v>0.26400000000000001</v>
      </c>
      <c r="I619" s="21">
        <f t="shared" si="135"/>
        <v>19.09</v>
      </c>
      <c r="J619" s="62">
        <f t="shared" si="136"/>
        <v>3140.31</v>
      </c>
    </row>
    <row r="620" spans="1:10" x14ac:dyDescent="0.2">
      <c r="A620" s="16" t="s">
        <v>804</v>
      </c>
      <c r="B620" s="16" t="s">
        <v>22</v>
      </c>
      <c r="C620" s="29">
        <v>104917</v>
      </c>
      <c r="D620" s="30" t="s">
        <v>640</v>
      </c>
      <c r="E620" s="29" t="s">
        <v>361</v>
      </c>
      <c r="F620" s="31">
        <v>13.3</v>
      </c>
      <c r="G620" s="19">
        <v>13.616999999999999</v>
      </c>
      <c r="H620" s="20">
        <v>0.26400000000000001</v>
      </c>
      <c r="I620" s="21">
        <f t="shared" si="135"/>
        <v>17.21</v>
      </c>
      <c r="J620" s="62">
        <f t="shared" si="136"/>
        <v>228.89</v>
      </c>
    </row>
    <row r="621" spans="1:10" x14ac:dyDescent="0.2">
      <c r="A621" s="16" t="s">
        <v>805</v>
      </c>
      <c r="B621" s="16" t="s">
        <v>22</v>
      </c>
      <c r="C621" s="29">
        <v>104918</v>
      </c>
      <c r="D621" s="30" t="s">
        <v>360</v>
      </c>
      <c r="E621" s="29" t="s">
        <v>361</v>
      </c>
      <c r="F621" s="31">
        <v>225.39999999999998</v>
      </c>
      <c r="G621" s="19">
        <v>12.324999999999999</v>
      </c>
      <c r="H621" s="20">
        <v>0.26400000000000001</v>
      </c>
      <c r="I621" s="21">
        <f t="shared" si="135"/>
        <v>15.58</v>
      </c>
      <c r="J621" s="62">
        <f t="shared" si="136"/>
        <v>3511.73</v>
      </c>
    </row>
    <row r="622" spans="1:10" x14ac:dyDescent="0.2">
      <c r="A622" s="16" t="s">
        <v>806</v>
      </c>
      <c r="B622" s="16" t="s">
        <v>22</v>
      </c>
      <c r="C622" s="29">
        <v>104919</v>
      </c>
      <c r="D622" s="30" t="s">
        <v>641</v>
      </c>
      <c r="E622" s="29" t="s">
        <v>361</v>
      </c>
      <c r="F622" s="31">
        <v>369.1</v>
      </c>
      <c r="G622" s="19">
        <v>10.871499999999999</v>
      </c>
      <c r="H622" s="20">
        <v>0.26400000000000001</v>
      </c>
      <c r="I622" s="21">
        <f t="shared" si="135"/>
        <v>13.74</v>
      </c>
      <c r="J622" s="62">
        <f t="shared" si="136"/>
        <v>5071.43</v>
      </c>
    </row>
    <row r="623" spans="1:10" ht="25.5" x14ac:dyDescent="0.2">
      <c r="A623" s="16" t="s">
        <v>807</v>
      </c>
      <c r="B623" s="16" t="s">
        <v>22</v>
      </c>
      <c r="C623" s="29">
        <v>104920</v>
      </c>
      <c r="D623" s="30" t="s">
        <v>642</v>
      </c>
      <c r="E623" s="29" t="s">
        <v>361</v>
      </c>
      <c r="F623" s="31">
        <v>0</v>
      </c>
      <c r="G623" s="19">
        <v>9.2140000000000004</v>
      </c>
      <c r="H623" s="20">
        <v>0.26400000000000001</v>
      </c>
      <c r="I623" s="21">
        <f t="shared" si="135"/>
        <v>11.65</v>
      </c>
      <c r="J623" s="62">
        <f t="shared" si="136"/>
        <v>0</v>
      </c>
    </row>
    <row r="624" spans="1:10" ht="25.5" x14ac:dyDescent="0.2">
      <c r="A624" s="16" t="s">
        <v>808</v>
      </c>
      <c r="B624" s="16" t="s">
        <v>22</v>
      </c>
      <c r="C624" s="29">
        <v>104921</v>
      </c>
      <c r="D624" s="30" t="s">
        <v>643</v>
      </c>
      <c r="E624" s="29" t="s">
        <v>361</v>
      </c>
      <c r="F624" s="31">
        <v>0</v>
      </c>
      <c r="G624" s="19">
        <v>9.18</v>
      </c>
      <c r="H624" s="20">
        <v>0.26400000000000001</v>
      </c>
      <c r="I624" s="21">
        <f t="shared" si="135"/>
        <v>11.6</v>
      </c>
      <c r="J624" s="62">
        <f t="shared" si="136"/>
        <v>0</v>
      </c>
    </row>
    <row r="625" spans="1:10" x14ac:dyDescent="0.2">
      <c r="A625" s="16" t="s">
        <v>809</v>
      </c>
      <c r="B625" s="16" t="s">
        <v>22</v>
      </c>
      <c r="C625" s="29">
        <v>104922</v>
      </c>
      <c r="D625" s="30" t="s">
        <v>644</v>
      </c>
      <c r="E625" s="29" t="s">
        <v>361</v>
      </c>
      <c r="F625" s="31">
        <v>0</v>
      </c>
      <c r="G625" s="19">
        <v>8.5169999999999995</v>
      </c>
      <c r="H625" s="20">
        <v>0.26400000000000001</v>
      </c>
      <c r="I625" s="21">
        <f t="shared" si="135"/>
        <v>10.77</v>
      </c>
      <c r="J625" s="62">
        <f t="shared" si="136"/>
        <v>0</v>
      </c>
    </row>
    <row r="626" spans="1:10" x14ac:dyDescent="0.2">
      <c r="A626" s="16" t="s">
        <v>810</v>
      </c>
      <c r="B626" s="16" t="s">
        <v>22</v>
      </c>
      <c r="C626" s="29">
        <v>96558</v>
      </c>
      <c r="D626" s="30" t="s">
        <v>365</v>
      </c>
      <c r="E626" s="29" t="s">
        <v>51</v>
      </c>
      <c r="F626" s="31">
        <v>14.900000000000002</v>
      </c>
      <c r="G626" s="19">
        <v>736.83100000000002</v>
      </c>
      <c r="H626" s="20">
        <v>0.26400000000000001</v>
      </c>
      <c r="I626" s="21">
        <f t="shared" si="135"/>
        <v>931.35</v>
      </c>
      <c r="J626" s="62">
        <f t="shared" si="136"/>
        <v>13877.12</v>
      </c>
    </row>
    <row r="627" spans="1:10" x14ac:dyDescent="0.2">
      <c r="A627" s="77"/>
      <c r="B627" s="63"/>
      <c r="C627" s="63"/>
      <c r="D627" s="65" t="s">
        <v>108</v>
      </c>
      <c r="E627" s="63"/>
      <c r="F627" s="66"/>
      <c r="G627" s="67"/>
      <c r="H627" s="68"/>
      <c r="I627" s="69"/>
      <c r="J627" s="61">
        <f>SUM(J616:J626)</f>
        <v>41146.550000000003</v>
      </c>
    </row>
    <row r="628" spans="1:10" x14ac:dyDescent="0.2">
      <c r="A628" s="25" t="s">
        <v>811</v>
      </c>
      <c r="B628" s="25"/>
      <c r="C628" s="25"/>
      <c r="D628" s="26" t="s">
        <v>678</v>
      </c>
      <c r="E628" s="25"/>
      <c r="F628" s="27"/>
      <c r="G628" s="28"/>
      <c r="H628" s="25"/>
      <c r="I628" s="25"/>
      <c r="J628" s="61"/>
    </row>
    <row r="629" spans="1:10" x14ac:dyDescent="0.2">
      <c r="A629" s="16" t="s">
        <v>812</v>
      </c>
      <c r="B629" s="16" t="s">
        <v>22</v>
      </c>
      <c r="C629" s="29">
        <v>96622</v>
      </c>
      <c r="D629" s="30" t="s">
        <v>358</v>
      </c>
      <c r="E629" s="29" t="s">
        <v>51</v>
      </c>
      <c r="F629" s="31">
        <v>5.1150000000000002</v>
      </c>
      <c r="G629" s="19">
        <v>204.4845</v>
      </c>
      <c r="H629" s="20">
        <v>0.26400000000000001</v>
      </c>
      <c r="I629" s="21">
        <f t="shared" ref="I629:I636" si="137">ROUND((G629*(1+H629)),2)</f>
        <v>258.47000000000003</v>
      </c>
      <c r="J629" s="62">
        <f t="shared" ref="J629:J636" si="138">ROUND((I629*F629),2)</f>
        <v>1322.07</v>
      </c>
    </row>
    <row r="630" spans="1:10" x14ac:dyDescent="0.2">
      <c r="A630" s="16" t="s">
        <v>813</v>
      </c>
      <c r="B630" s="16" t="s">
        <v>22</v>
      </c>
      <c r="C630" s="29">
        <v>104916</v>
      </c>
      <c r="D630" s="30" t="s">
        <v>639</v>
      </c>
      <c r="E630" s="29" t="s">
        <v>361</v>
      </c>
      <c r="F630" s="31">
        <v>122.7</v>
      </c>
      <c r="G630" s="19">
        <v>15.1045</v>
      </c>
      <c r="H630" s="20">
        <v>0.26400000000000001</v>
      </c>
      <c r="I630" s="21">
        <f t="shared" si="137"/>
        <v>19.09</v>
      </c>
      <c r="J630" s="62">
        <f t="shared" si="138"/>
        <v>2342.34</v>
      </c>
    </row>
    <row r="631" spans="1:10" x14ac:dyDescent="0.2">
      <c r="A631" s="16" t="s">
        <v>814</v>
      </c>
      <c r="B631" s="16" t="s">
        <v>22</v>
      </c>
      <c r="C631" s="29">
        <v>104917</v>
      </c>
      <c r="D631" s="30" t="s">
        <v>640</v>
      </c>
      <c r="E631" s="29" t="s">
        <v>361</v>
      </c>
      <c r="F631" s="31">
        <v>2.4</v>
      </c>
      <c r="G631" s="19">
        <v>13.616999999999999</v>
      </c>
      <c r="H631" s="20">
        <v>0.26400000000000001</v>
      </c>
      <c r="I631" s="21">
        <f t="shared" si="137"/>
        <v>17.21</v>
      </c>
      <c r="J631" s="62">
        <f t="shared" si="138"/>
        <v>41.3</v>
      </c>
    </row>
    <row r="632" spans="1:10" x14ac:dyDescent="0.2">
      <c r="A632" s="16" t="s">
        <v>815</v>
      </c>
      <c r="B632" s="16" t="s">
        <v>22</v>
      </c>
      <c r="C632" s="29">
        <v>104918</v>
      </c>
      <c r="D632" s="30" t="s">
        <v>360</v>
      </c>
      <c r="E632" s="29" t="s">
        <v>361</v>
      </c>
      <c r="F632" s="31">
        <v>318.2</v>
      </c>
      <c r="G632" s="19">
        <v>12.324999999999999</v>
      </c>
      <c r="H632" s="20">
        <v>0.26400000000000001</v>
      </c>
      <c r="I632" s="21">
        <f t="shared" si="137"/>
        <v>15.58</v>
      </c>
      <c r="J632" s="62">
        <f t="shared" si="138"/>
        <v>4957.5600000000004</v>
      </c>
    </row>
    <row r="633" spans="1:10" x14ac:dyDescent="0.2">
      <c r="A633" s="16" t="s">
        <v>816</v>
      </c>
      <c r="B633" s="16" t="s">
        <v>22</v>
      </c>
      <c r="C633" s="29">
        <v>104919</v>
      </c>
      <c r="D633" s="30" t="s">
        <v>641</v>
      </c>
      <c r="E633" s="29" t="s">
        <v>361</v>
      </c>
      <c r="F633" s="31">
        <v>48.800000000000004</v>
      </c>
      <c r="G633" s="19">
        <v>10.871499999999999</v>
      </c>
      <c r="H633" s="20">
        <v>0.26400000000000001</v>
      </c>
      <c r="I633" s="21">
        <f t="shared" si="137"/>
        <v>13.74</v>
      </c>
      <c r="J633" s="62">
        <f t="shared" si="138"/>
        <v>670.51</v>
      </c>
    </row>
    <row r="634" spans="1:10" ht="25.5" x14ac:dyDescent="0.2">
      <c r="A634" s="16" t="s">
        <v>817</v>
      </c>
      <c r="B634" s="16" t="s">
        <v>22</v>
      </c>
      <c r="C634" s="29">
        <v>104920</v>
      </c>
      <c r="D634" s="30" t="s">
        <v>642</v>
      </c>
      <c r="E634" s="29" t="s">
        <v>361</v>
      </c>
      <c r="F634" s="31">
        <v>0</v>
      </c>
      <c r="G634" s="19">
        <v>9.2140000000000004</v>
      </c>
      <c r="H634" s="20">
        <v>0.26400000000000001</v>
      </c>
      <c r="I634" s="21">
        <f t="shared" si="137"/>
        <v>11.65</v>
      </c>
      <c r="J634" s="62">
        <f t="shared" si="138"/>
        <v>0</v>
      </c>
    </row>
    <row r="635" spans="1:10" x14ac:dyDescent="0.2">
      <c r="A635" s="16" t="s">
        <v>818</v>
      </c>
      <c r="B635" s="16" t="s">
        <v>22</v>
      </c>
      <c r="C635" s="29">
        <v>96558</v>
      </c>
      <c r="D635" s="30" t="s">
        <v>365</v>
      </c>
      <c r="E635" s="29" t="s">
        <v>51</v>
      </c>
      <c r="F635" s="31">
        <v>10.68</v>
      </c>
      <c r="G635" s="19">
        <v>736.83100000000002</v>
      </c>
      <c r="H635" s="20">
        <v>0.26400000000000001</v>
      </c>
      <c r="I635" s="21">
        <f t="shared" si="137"/>
        <v>931.35</v>
      </c>
      <c r="J635" s="62">
        <f t="shared" si="138"/>
        <v>9946.82</v>
      </c>
    </row>
    <row r="636" spans="1:10" ht="25.5" x14ac:dyDescent="0.2">
      <c r="A636" s="16" t="s">
        <v>819</v>
      </c>
      <c r="B636" s="16" t="s">
        <v>22</v>
      </c>
      <c r="C636" s="29">
        <v>96530</v>
      </c>
      <c r="D636" s="30" t="s">
        <v>363</v>
      </c>
      <c r="E636" s="29" t="s">
        <v>24</v>
      </c>
      <c r="F636" s="31">
        <v>169.15</v>
      </c>
      <c r="G636" s="19">
        <v>124.2615</v>
      </c>
      <c r="H636" s="20">
        <v>0.26400000000000001</v>
      </c>
      <c r="I636" s="21">
        <f t="shared" si="137"/>
        <v>157.07</v>
      </c>
      <c r="J636" s="62">
        <f t="shared" si="138"/>
        <v>26568.39</v>
      </c>
    </row>
    <row r="637" spans="1:10" x14ac:dyDescent="0.2">
      <c r="A637" s="77"/>
      <c r="B637" s="63"/>
      <c r="C637" s="63"/>
      <c r="D637" s="65" t="s">
        <v>108</v>
      </c>
      <c r="E637" s="63"/>
      <c r="F637" s="66"/>
      <c r="G637" s="67"/>
      <c r="H637" s="68"/>
      <c r="I637" s="69"/>
      <c r="J637" s="61">
        <f>SUM(J629:J636)</f>
        <v>45848.99</v>
      </c>
    </row>
    <row r="638" spans="1:10" x14ac:dyDescent="0.2">
      <c r="A638" s="25" t="s">
        <v>820</v>
      </c>
      <c r="B638" s="25"/>
      <c r="C638" s="25"/>
      <c r="D638" s="26" t="s">
        <v>655</v>
      </c>
      <c r="E638" s="25"/>
      <c r="F638" s="27"/>
      <c r="G638" s="28"/>
      <c r="H638" s="25"/>
      <c r="I638" s="25"/>
      <c r="J638" s="61"/>
    </row>
    <row r="639" spans="1:10" ht="25.5" x14ac:dyDescent="0.2">
      <c r="A639" s="16" t="s">
        <v>821</v>
      </c>
      <c r="B639" s="16" t="s">
        <v>22</v>
      </c>
      <c r="C639" s="29">
        <v>92759</v>
      </c>
      <c r="D639" s="30" t="s">
        <v>367</v>
      </c>
      <c r="E639" s="29" t="s">
        <v>361</v>
      </c>
      <c r="F639" s="31">
        <v>260.2</v>
      </c>
      <c r="G639" s="19">
        <v>12.427</v>
      </c>
      <c r="H639" s="20">
        <v>0.26400000000000001</v>
      </c>
      <c r="I639" s="21">
        <f t="shared" ref="I639:I647" si="139">ROUND((G639*(1+H639)),2)</f>
        <v>15.71</v>
      </c>
      <c r="J639" s="62">
        <f t="shared" ref="J639:J647" si="140">ROUND((I639*F639),2)</f>
        <v>4087.74</v>
      </c>
    </row>
    <row r="640" spans="1:10" ht="25.5" x14ac:dyDescent="0.2">
      <c r="A640" s="16" t="s">
        <v>822</v>
      </c>
      <c r="B640" s="16" t="s">
        <v>22</v>
      </c>
      <c r="C640" s="29">
        <v>92760</v>
      </c>
      <c r="D640" s="30" t="s">
        <v>656</v>
      </c>
      <c r="E640" s="29" t="s">
        <v>361</v>
      </c>
      <c r="F640" s="31">
        <v>0</v>
      </c>
      <c r="G640" s="19">
        <v>11.339</v>
      </c>
      <c r="H640" s="20">
        <v>0.26400000000000001</v>
      </c>
      <c r="I640" s="21">
        <f t="shared" si="139"/>
        <v>14.33</v>
      </c>
      <c r="J640" s="62">
        <f t="shared" si="140"/>
        <v>0</v>
      </c>
    </row>
    <row r="641" spans="1:10" ht="25.5" x14ac:dyDescent="0.2">
      <c r="A641" s="16" t="s">
        <v>823</v>
      </c>
      <c r="B641" s="16" t="s">
        <v>22</v>
      </c>
      <c r="C641" s="29">
        <v>92761</v>
      </c>
      <c r="D641" s="30" t="s">
        <v>369</v>
      </c>
      <c r="E641" s="29" t="s">
        <v>361</v>
      </c>
      <c r="F641" s="31">
        <v>0</v>
      </c>
      <c r="G641" s="19">
        <v>10.378500000000001</v>
      </c>
      <c r="H641" s="20">
        <v>0.26400000000000001</v>
      </c>
      <c r="I641" s="21">
        <f t="shared" si="139"/>
        <v>13.12</v>
      </c>
      <c r="J641" s="62">
        <f t="shared" si="140"/>
        <v>0</v>
      </c>
    </row>
    <row r="642" spans="1:10" ht="25.5" x14ac:dyDescent="0.2">
      <c r="A642" s="16" t="s">
        <v>824</v>
      </c>
      <c r="B642" s="16" t="s">
        <v>22</v>
      </c>
      <c r="C642" s="29">
        <v>92762</v>
      </c>
      <c r="D642" s="30" t="s">
        <v>371</v>
      </c>
      <c r="E642" s="29" t="s">
        <v>361</v>
      </c>
      <c r="F642" s="31">
        <v>549</v>
      </c>
      <c r="G642" s="19">
        <v>9.1374999999999993</v>
      </c>
      <c r="H642" s="20">
        <v>0.26400000000000001</v>
      </c>
      <c r="I642" s="21">
        <f t="shared" si="139"/>
        <v>11.55</v>
      </c>
      <c r="J642" s="62">
        <f t="shared" si="140"/>
        <v>6340.95</v>
      </c>
    </row>
    <row r="643" spans="1:10" ht="25.5" x14ac:dyDescent="0.2">
      <c r="A643" s="16" t="s">
        <v>825</v>
      </c>
      <c r="B643" s="16" t="s">
        <v>22</v>
      </c>
      <c r="C643" s="29">
        <v>92763</v>
      </c>
      <c r="D643" s="30" t="s">
        <v>657</v>
      </c>
      <c r="E643" s="29" t="s">
        <v>361</v>
      </c>
      <c r="F643" s="31">
        <v>0</v>
      </c>
      <c r="G643" s="19">
        <v>7.6160000000000005</v>
      </c>
      <c r="H643" s="20">
        <v>0.26400000000000001</v>
      </c>
      <c r="I643" s="21">
        <f t="shared" si="139"/>
        <v>9.6300000000000008</v>
      </c>
      <c r="J643" s="62">
        <f t="shared" si="140"/>
        <v>0</v>
      </c>
    </row>
    <row r="644" spans="1:10" ht="25.5" x14ac:dyDescent="0.2">
      <c r="A644" s="16" t="s">
        <v>826</v>
      </c>
      <c r="B644" s="16" t="s">
        <v>22</v>
      </c>
      <c r="C644" s="29">
        <v>92764</v>
      </c>
      <c r="D644" s="30" t="s">
        <v>658</v>
      </c>
      <c r="E644" s="29" t="s">
        <v>361</v>
      </c>
      <c r="F644" s="31">
        <v>0</v>
      </c>
      <c r="G644" s="19">
        <v>7.3014999999999999</v>
      </c>
      <c r="H644" s="20">
        <v>0.26400000000000001</v>
      </c>
      <c r="I644" s="21">
        <f t="shared" si="139"/>
        <v>9.23</v>
      </c>
      <c r="J644" s="62">
        <f t="shared" si="140"/>
        <v>0</v>
      </c>
    </row>
    <row r="645" spans="1:10" ht="25.5" x14ac:dyDescent="0.2">
      <c r="A645" s="16" t="s">
        <v>827</v>
      </c>
      <c r="B645" s="16" t="s">
        <v>22</v>
      </c>
      <c r="C645" s="29">
        <v>92765</v>
      </c>
      <c r="D645" s="30" t="s">
        <v>659</v>
      </c>
      <c r="E645" s="29" t="s">
        <v>361</v>
      </c>
      <c r="F645" s="31">
        <v>0</v>
      </c>
      <c r="G645" s="19">
        <v>8.2279999999999998</v>
      </c>
      <c r="H645" s="20">
        <v>0.26400000000000001</v>
      </c>
      <c r="I645" s="21">
        <f t="shared" si="139"/>
        <v>10.4</v>
      </c>
      <c r="J645" s="62">
        <f t="shared" si="140"/>
        <v>0</v>
      </c>
    </row>
    <row r="646" spans="1:10" ht="25.5" x14ac:dyDescent="0.2">
      <c r="A646" s="16" t="s">
        <v>828</v>
      </c>
      <c r="B646" s="16" t="s">
        <v>22</v>
      </c>
      <c r="C646" s="29">
        <v>92415</v>
      </c>
      <c r="D646" s="30" t="s">
        <v>373</v>
      </c>
      <c r="E646" s="29" t="s">
        <v>24</v>
      </c>
      <c r="F646" s="31">
        <v>152.70999999999998</v>
      </c>
      <c r="G646" s="19">
        <v>148.036</v>
      </c>
      <c r="H646" s="20">
        <v>0.26400000000000001</v>
      </c>
      <c r="I646" s="21">
        <f t="shared" si="139"/>
        <v>187.12</v>
      </c>
      <c r="J646" s="62">
        <f t="shared" si="140"/>
        <v>28575.1</v>
      </c>
    </row>
    <row r="647" spans="1:10" x14ac:dyDescent="0.2">
      <c r="A647" s="16" t="s">
        <v>829</v>
      </c>
      <c r="B647" s="32" t="s">
        <v>22</v>
      </c>
      <c r="C647" s="32">
        <v>103672</v>
      </c>
      <c r="D647" s="33" t="s">
        <v>375</v>
      </c>
      <c r="E647" s="32" t="s">
        <v>51</v>
      </c>
      <c r="F647" s="18">
        <v>9.98</v>
      </c>
      <c r="G647" s="19">
        <v>637.22799999999995</v>
      </c>
      <c r="H647" s="35">
        <v>0.26400000000000001</v>
      </c>
      <c r="I647" s="36">
        <f t="shared" si="139"/>
        <v>805.46</v>
      </c>
      <c r="J647" s="71">
        <f t="shared" si="140"/>
        <v>8038.49</v>
      </c>
    </row>
    <row r="648" spans="1:10" x14ac:dyDescent="0.2">
      <c r="A648" s="77"/>
      <c r="B648" s="63"/>
      <c r="C648" s="63"/>
      <c r="D648" s="65" t="s">
        <v>108</v>
      </c>
      <c r="E648" s="63"/>
      <c r="F648" s="66"/>
      <c r="G648" s="67"/>
      <c r="H648" s="68"/>
      <c r="I648" s="69"/>
      <c r="J648" s="61">
        <f>SUM(J639:J647)</f>
        <v>47042.279999999992</v>
      </c>
    </row>
    <row r="649" spans="1:10" x14ac:dyDescent="0.2">
      <c r="A649" s="25" t="s">
        <v>830</v>
      </c>
      <c r="B649" s="25"/>
      <c r="C649" s="25"/>
      <c r="D649" s="26" t="s">
        <v>661</v>
      </c>
      <c r="E649" s="25"/>
      <c r="F649" s="27"/>
      <c r="G649" s="28"/>
      <c r="H649" s="25"/>
      <c r="I649" s="25"/>
      <c r="J649" s="61"/>
    </row>
    <row r="650" spans="1:10" ht="25.5" x14ac:dyDescent="0.2">
      <c r="A650" s="16" t="s">
        <v>831</v>
      </c>
      <c r="B650" s="16" t="s">
        <v>22</v>
      </c>
      <c r="C650" s="29">
        <v>92759</v>
      </c>
      <c r="D650" s="30" t="s">
        <v>367</v>
      </c>
      <c r="E650" s="29" t="s">
        <v>361</v>
      </c>
      <c r="F650" s="76">
        <v>124.7</v>
      </c>
      <c r="G650" s="19">
        <v>12.427</v>
      </c>
      <c r="H650" s="20">
        <v>0.26400000000000001</v>
      </c>
      <c r="I650" s="21">
        <f t="shared" ref="I650:I658" si="141">ROUND((G650*(1+H650)),2)</f>
        <v>15.71</v>
      </c>
      <c r="J650" s="62">
        <f t="shared" ref="J650:J658" si="142">ROUND((I650*F650),2)</f>
        <v>1959.04</v>
      </c>
    </row>
    <row r="651" spans="1:10" ht="25.5" x14ac:dyDescent="0.2">
      <c r="A651" s="16" t="s">
        <v>832</v>
      </c>
      <c r="B651" s="16" t="s">
        <v>22</v>
      </c>
      <c r="C651" s="29">
        <v>92760</v>
      </c>
      <c r="D651" s="30" t="s">
        <v>656</v>
      </c>
      <c r="E651" s="29" t="s">
        <v>361</v>
      </c>
      <c r="F651" s="76">
        <v>4.5</v>
      </c>
      <c r="G651" s="19">
        <v>11.339</v>
      </c>
      <c r="H651" s="20">
        <v>0.26400000000000001</v>
      </c>
      <c r="I651" s="21">
        <f t="shared" si="141"/>
        <v>14.33</v>
      </c>
      <c r="J651" s="62">
        <f t="shared" si="142"/>
        <v>64.489999999999995</v>
      </c>
    </row>
    <row r="652" spans="1:10" ht="25.5" x14ac:dyDescent="0.2">
      <c r="A652" s="16" t="s">
        <v>833</v>
      </c>
      <c r="B652" s="16" t="s">
        <v>22</v>
      </c>
      <c r="C652" s="29">
        <v>92761</v>
      </c>
      <c r="D652" s="30" t="s">
        <v>369</v>
      </c>
      <c r="E652" s="29" t="s">
        <v>361</v>
      </c>
      <c r="F652" s="76">
        <v>226.1</v>
      </c>
      <c r="G652" s="19">
        <v>10.378500000000001</v>
      </c>
      <c r="H652" s="20">
        <v>0.26400000000000001</v>
      </c>
      <c r="I652" s="21">
        <f t="shared" si="141"/>
        <v>13.12</v>
      </c>
      <c r="J652" s="62">
        <f t="shared" si="142"/>
        <v>2966.43</v>
      </c>
    </row>
    <row r="653" spans="1:10" ht="25.5" x14ac:dyDescent="0.2">
      <c r="A653" s="16" t="s">
        <v>834</v>
      </c>
      <c r="B653" s="16" t="s">
        <v>22</v>
      </c>
      <c r="C653" s="29">
        <v>92762</v>
      </c>
      <c r="D653" s="30" t="s">
        <v>371</v>
      </c>
      <c r="E653" s="29" t="s">
        <v>361</v>
      </c>
      <c r="F653" s="76">
        <v>188.7</v>
      </c>
      <c r="G653" s="19">
        <v>9.1374999999999993</v>
      </c>
      <c r="H653" s="20">
        <v>0.26400000000000001</v>
      </c>
      <c r="I653" s="21">
        <f t="shared" si="141"/>
        <v>11.55</v>
      </c>
      <c r="J653" s="62">
        <f t="shared" si="142"/>
        <v>2179.4899999999998</v>
      </c>
    </row>
    <row r="654" spans="1:10" ht="25.5" x14ac:dyDescent="0.2">
      <c r="A654" s="16" t="s">
        <v>835</v>
      </c>
      <c r="B654" s="16" t="s">
        <v>22</v>
      </c>
      <c r="C654" s="29">
        <v>92763</v>
      </c>
      <c r="D654" s="30" t="s">
        <v>657</v>
      </c>
      <c r="E654" s="29" t="s">
        <v>361</v>
      </c>
      <c r="F654" s="76">
        <v>68.7</v>
      </c>
      <c r="G654" s="19">
        <v>7.6160000000000005</v>
      </c>
      <c r="H654" s="20">
        <v>0.26400000000000001</v>
      </c>
      <c r="I654" s="21">
        <f t="shared" si="141"/>
        <v>9.6300000000000008</v>
      </c>
      <c r="J654" s="62">
        <f t="shared" si="142"/>
        <v>661.58</v>
      </c>
    </row>
    <row r="655" spans="1:10" ht="25.5" x14ac:dyDescent="0.2">
      <c r="A655" s="16" t="s">
        <v>836</v>
      </c>
      <c r="B655" s="16" t="s">
        <v>22</v>
      </c>
      <c r="C655" s="29">
        <v>92764</v>
      </c>
      <c r="D655" s="30" t="s">
        <v>658</v>
      </c>
      <c r="E655" s="29" t="s">
        <v>361</v>
      </c>
      <c r="F655" s="76">
        <v>0</v>
      </c>
      <c r="G655" s="19">
        <v>7.3014999999999999</v>
      </c>
      <c r="H655" s="20">
        <v>0.26400000000000001</v>
      </c>
      <c r="I655" s="21">
        <f t="shared" si="141"/>
        <v>9.23</v>
      </c>
      <c r="J655" s="62">
        <f t="shared" si="142"/>
        <v>0</v>
      </c>
    </row>
    <row r="656" spans="1:10" ht="25.5" x14ac:dyDescent="0.2">
      <c r="A656" s="16" t="s">
        <v>837</v>
      </c>
      <c r="B656" s="16" t="s">
        <v>22</v>
      </c>
      <c r="C656" s="29">
        <v>92765</v>
      </c>
      <c r="D656" s="30" t="s">
        <v>659</v>
      </c>
      <c r="E656" s="29" t="s">
        <v>361</v>
      </c>
      <c r="F656" s="76">
        <v>0</v>
      </c>
      <c r="G656" s="19">
        <v>8.2279999999999998</v>
      </c>
      <c r="H656" s="20">
        <v>0.26400000000000001</v>
      </c>
      <c r="I656" s="21">
        <f t="shared" si="141"/>
        <v>10.4</v>
      </c>
      <c r="J656" s="62">
        <f t="shared" si="142"/>
        <v>0</v>
      </c>
    </row>
    <row r="657" spans="1:10" ht="25.5" x14ac:dyDescent="0.2">
      <c r="A657" s="16" t="s">
        <v>838</v>
      </c>
      <c r="B657" s="32" t="s">
        <v>22</v>
      </c>
      <c r="C657" s="32">
        <v>92452</v>
      </c>
      <c r="D657" s="33" t="s">
        <v>662</v>
      </c>
      <c r="E657" s="32" t="s">
        <v>24</v>
      </c>
      <c r="F657" s="76">
        <v>157.34999999999997</v>
      </c>
      <c r="G657" s="19">
        <v>212.93349999999998</v>
      </c>
      <c r="H657" s="35">
        <v>0.26400000000000001</v>
      </c>
      <c r="I657" s="36">
        <f t="shared" si="141"/>
        <v>269.14999999999998</v>
      </c>
      <c r="J657" s="62">
        <f t="shared" si="142"/>
        <v>42350.75</v>
      </c>
    </row>
    <row r="658" spans="1:10" ht="25.5" x14ac:dyDescent="0.2">
      <c r="A658" s="16" t="s">
        <v>839</v>
      </c>
      <c r="B658" s="32" t="s">
        <v>22</v>
      </c>
      <c r="C658" s="32">
        <v>103675</v>
      </c>
      <c r="D658" s="33" t="s">
        <v>663</v>
      </c>
      <c r="E658" s="32" t="s">
        <v>51</v>
      </c>
      <c r="F658" s="76">
        <v>10.17</v>
      </c>
      <c r="G658" s="19">
        <v>638.46900000000005</v>
      </c>
      <c r="H658" s="35">
        <v>0.26400000000000001</v>
      </c>
      <c r="I658" s="36">
        <f t="shared" si="141"/>
        <v>807.02</v>
      </c>
      <c r="J658" s="71">
        <f t="shared" si="142"/>
        <v>8207.39</v>
      </c>
    </row>
    <row r="659" spans="1:10" x14ac:dyDescent="0.2">
      <c r="A659" s="77"/>
      <c r="B659" s="63"/>
      <c r="C659" s="63"/>
      <c r="D659" s="65" t="s">
        <v>108</v>
      </c>
      <c r="E659" s="63"/>
      <c r="F659" s="66"/>
      <c r="G659" s="67"/>
      <c r="H659" s="68"/>
      <c r="I659" s="69"/>
      <c r="J659" s="61">
        <f>SUM(J650:J658)</f>
        <v>58389.17</v>
      </c>
    </row>
    <row r="660" spans="1:10" x14ac:dyDescent="0.2">
      <c r="A660" s="25" t="s">
        <v>840</v>
      </c>
      <c r="B660" s="25"/>
      <c r="C660" s="25"/>
      <c r="D660" s="26" t="s">
        <v>646</v>
      </c>
      <c r="E660" s="25"/>
      <c r="F660" s="27"/>
      <c r="G660" s="28"/>
      <c r="H660" s="25"/>
      <c r="I660" s="25"/>
      <c r="J660" s="61"/>
    </row>
    <row r="661" spans="1:10" x14ac:dyDescent="0.2">
      <c r="A661" s="16" t="s">
        <v>841</v>
      </c>
      <c r="B661" s="16" t="s">
        <v>22</v>
      </c>
      <c r="C661" s="29">
        <v>92768</v>
      </c>
      <c r="D661" s="30" t="s">
        <v>647</v>
      </c>
      <c r="E661" s="29" t="s">
        <v>361</v>
      </c>
      <c r="F661" s="31">
        <v>328.2</v>
      </c>
      <c r="G661" s="19">
        <v>11.832000000000001</v>
      </c>
      <c r="H661" s="20">
        <v>0.26400000000000001</v>
      </c>
      <c r="I661" s="21">
        <f t="shared" ref="I661:I668" si="143">ROUND((G661*(1+H661)),2)</f>
        <v>14.96</v>
      </c>
      <c r="J661" s="62">
        <f t="shared" ref="J661:J668" si="144">ROUND((I661*F661),2)</f>
        <v>4909.87</v>
      </c>
    </row>
    <row r="662" spans="1:10" x14ac:dyDescent="0.2">
      <c r="A662" s="16" t="s">
        <v>842</v>
      </c>
      <c r="B662" s="16" t="s">
        <v>22</v>
      </c>
      <c r="C662" s="29">
        <v>92769</v>
      </c>
      <c r="D662" s="30" t="s">
        <v>648</v>
      </c>
      <c r="E662" s="29" t="s">
        <v>361</v>
      </c>
      <c r="F662" s="31">
        <v>103.7</v>
      </c>
      <c r="G662" s="19">
        <v>10.778</v>
      </c>
      <c r="H662" s="20">
        <v>0.26400000000000001</v>
      </c>
      <c r="I662" s="21">
        <f t="shared" si="143"/>
        <v>13.62</v>
      </c>
      <c r="J662" s="62">
        <f t="shared" si="144"/>
        <v>1412.39</v>
      </c>
    </row>
    <row r="663" spans="1:10" x14ac:dyDescent="0.2">
      <c r="A663" s="16" t="s">
        <v>843</v>
      </c>
      <c r="B663" s="16" t="s">
        <v>22</v>
      </c>
      <c r="C663" s="29">
        <v>92770</v>
      </c>
      <c r="D663" s="30" t="s">
        <v>649</v>
      </c>
      <c r="E663" s="29" t="s">
        <v>361</v>
      </c>
      <c r="F663" s="31">
        <v>759.4</v>
      </c>
      <c r="G663" s="19">
        <v>9.8684999999999992</v>
      </c>
      <c r="H663" s="20">
        <v>0.26400000000000001</v>
      </c>
      <c r="I663" s="21">
        <f t="shared" si="143"/>
        <v>12.47</v>
      </c>
      <c r="J663" s="62">
        <f t="shared" si="144"/>
        <v>9469.7199999999993</v>
      </c>
    </row>
    <row r="664" spans="1:10" ht="25.5" x14ac:dyDescent="0.2">
      <c r="A664" s="16" t="s">
        <v>844</v>
      </c>
      <c r="B664" s="16" t="s">
        <v>22</v>
      </c>
      <c r="C664" s="29">
        <v>92771</v>
      </c>
      <c r="D664" s="30" t="s">
        <v>650</v>
      </c>
      <c r="E664" s="29" t="s">
        <v>361</v>
      </c>
      <c r="F664" s="31">
        <v>386.2</v>
      </c>
      <c r="G664" s="19">
        <v>8.6785000000000014</v>
      </c>
      <c r="H664" s="20">
        <v>0.26400000000000001</v>
      </c>
      <c r="I664" s="21">
        <f t="shared" si="143"/>
        <v>10.97</v>
      </c>
      <c r="J664" s="62">
        <f t="shared" si="144"/>
        <v>4236.6099999999997</v>
      </c>
    </row>
    <row r="665" spans="1:10" ht="25.5" x14ac:dyDescent="0.2">
      <c r="A665" s="16" t="s">
        <v>845</v>
      </c>
      <c r="B665" s="16" t="s">
        <v>22</v>
      </c>
      <c r="C665" s="29">
        <v>92772</v>
      </c>
      <c r="D665" s="30" t="s">
        <v>651</v>
      </c>
      <c r="E665" s="29" t="s">
        <v>361</v>
      </c>
      <c r="F665" s="31">
        <v>202.60000000000002</v>
      </c>
      <c r="G665" s="19">
        <v>7.2164999999999999</v>
      </c>
      <c r="H665" s="20">
        <v>0.26400000000000001</v>
      </c>
      <c r="I665" s="21">
        <f t="shared" si="143"/>
        <v>9.1199999999999992</v>
      </c>
      <c r="J665" s="62">
        <f t="shared" si="144"/>
        <v>1847.71</v>
      </c>
    </row>
    <row r="666" spans="1:10" ht="25.5" x14ac:dyDescent="0.2">
      <c r="A666" s="16" t="s">
        <v>846</v>
      </c>
      <c r="B666" s="16" t="s">
        <v>22</v>
      </c>
      <c r="C666" s="29">
        <v>101792</v>
      </c>
      <c r="D666" s="30" t="s">
        <v>652</v>
      </c>
      <c r="E666" s="29" t="s">
        <v>51</v>
      </c>
      <c r="F666" s="31">
        <v>190.56</v>
      </c>
      <c r="G666" s="19">
        <v>18.428000000000001</v>
      </c>
      <c r="H666" s="20">
        <v>0.26400000000000001</v>
      </c>
      <c r="I666" s="21">
        <f t="shared" si="143"/>
        <v>23.29</v>
      </c>
      <c r="J666" s="62">
        <f t="shared" si="144"/>
        <v>4438.1400000000003</v>
      </c>
    </row>
    <row r="667" spans="1:10" ht="25.5" x14ac:dyDescent="0.2">
      <c r="A667" s="16" t="s">
        <v>847</v>
      </c>
      <c r="B667" s="16" t="s">
        <v>22</v>
      </c>
      <c r="C667" s="29">
        <v>92510</v>
      </c>
      <c r="D667" s="33" t="s">
        <v>653</v>
      </c>
      <c r="E667" s="29" t="s">
        <v>24</v>
      </c>
      <c r="F667" s="31">
        <v>190.56</v>
      </c>
      <c r="G667" s="19">
        <v>72.352000000000004</v>
      </c>
      <c r="H667" s="20">
        <v>0.26400000000000001</v>
      </c>
      <c r="I667" s="21">
        <f t="shared" si="143"/>
        <v>91.45</v>
      </c>
      <c r="J667" s="62">
        <f t="shared" si="144"/>
        <v>17426.71</v>
      </c>
    </row>
    <row r="668" spans="1:10" x14ac:dyDescent="0.2">
      <c r="A668" s="16" t="s">
        <v>848</v>
      </c>
      <c r="B668" s="16" t="s">
        <v>22</v>
      </c>
      <c r="C668" s="29">
        <v>97096</v>
      </c>
      <c r="D668" s="30" t="s">
        <v>654</v>
      </c>
      <c r="E668" s="29" t="s">
        <v>51</v>
      </c>
      <c r="F668" s="31">
        <v>28.58</v>
      </c>
      <c r="G668" s="19">
        <v>610.31700000000001</v>
      </c>
      <c r="H668" s="20">
        <v>0.26400000000000001</v>
      </c>
      <c r="I668" s="21">
        <f t="shared" si="143"/>
        <v>771.44</v>
      </c>
      <c r="J668" s="62">
        <f t="shared" si="144"/>
        <v>22047.759999999998</v>
      </c>
    </row>
    <row r="669" spans="1:10" x14ac:dyDescent="0.2">
      <c r="A669" s="77"/>
      <c r="B669" s="63"/>
      <c r="C669" s="63"/>
      <c r="D669" s="65" t="s">
        <v>108</v>
      </c>
      <c r="E669" s="63"/>
      <c r="F669" s="66"/>
      <c r="G669" s="67"/>
      <c r="H669" s="68"/>
      <c r="I669" s="69"/>
      <c r="J669" s="61">
        <f>SUM(J661:J668)</f>
        <v>65788.909999999989</v>
      </c>
    </row>
    <row r="670" spans="1:10" x14ac:dyDescent="0.2">
      <c r="A670" s="25" t="s">
        <v>849</v>
      </c>
      <c r="B670" s="25"/>
      <c r="C670" s="25"/>
      <c r="D670" s="26" t="s">
        <v>679</v>
      </c>
      <c r="E670" s="25"/>
      <c r="F670" s="27"/>
      <c r="G670" s="28"/>
      <c r="H670" s="25"/>
      <c r="I670" s="25"/>
      <c r="J670" s="61"/>
    </row>
    <row r="671" spans="1:10" ht="25.5" x14ac:dyDescent="0.2">
      <c r="A671" s="16" t="s">
        <v>850</v>
      </c>
      <c r="B671" s="16" t="s">
        <v>22</v>
      </c>
      <c r="C671" s="16">
        <v>95943</v>
      </c>
      <c r="D671" s="73" t="s">
        <v>665</v>
      </c>
      <c r="E671" s="29" t="s">
        <v>361</v>
      </c>
      <c r="F671" s="31">
        <v>0</v>
      </c>
      <c r="G671" s="19">
        <v>20.714500000000001</v>
      </c>
      <c r="H671" s="20">
        <v>0.26400000000000001</v>
      </c>
      <c r="I671" s="21">
        <f t="shared" ref="I671:I677" si="145">ROUND((G671*(1+H671)),2)</f>
        <v>26.18</v>
      </c>
      <c r="J671" s="62">
        <f t="shared" ref="J671:J677" si="146">ROUND((I671*F671),2)</f>
        <v>0</v>
      </c>
    </row>
    <row r="672" spans="1:10" ht="25.5" x14ac:dyDescent="0.2">
      <c r="A672" s="16" t="s">
        <v>851</v>
      </c>
      <c r="B672" s="16" t="s">
        <v>22</v>
      </c>
      <c r="C672" s="16">
        <v>95944</v>
      </c>
      <c r="D672" s="74" t="s">
        <v>666</v>
      </c>
      <c r="E672" s="29" t="s">
        <v>361</v>
      </c>
      <c r="F672" s="31">
        <v>7</v>
      </c>
      <c r="G672" s="19">
        <v>18.317500000000003</v>
      </c>
      <c r="H672" s="20">
        <v>0.26400000000000001</v>
      </c>
      <c r="I672" s="21">
        <f t="shared" si="145"/>
        <v>23.15</v>
      </c>
      <c r="J672" s="62">
        <f t="shared" si="146"/>
        <v>162.05000000000001</v>
      </c>
    </row>
    <row r="673" spans="1:10" ht="25.5" x14ac:dyDescent="0.2">
      <c r="A673" s="16" t="s">
        <v>852</v>
      </c>
      <c r="B673" s="16" t="s">
        <v>22</v>
      </c>
      <c r="C673" s="16">
        <v>95945</v>
      </c>
      <c r="D673" s="74" t="s">
        <v>667</v>
      </c>
      <c r="E673" s="29" t="s">
        <v>361</v>
      </c>
      <c r="F673" s="31">
        <v>27.2</v>
      </c>
      <c r="G673" s="19">
        <v>14.186500000000001</v>
      </c>
      <c r="H673" s="20">
        <v>0.26400000000000001</v>
      </c>
      <c r="I673" s="21">
        <f t="shared" si="145"/>
        <v>17.93</v>
      </c>
      <c r="J673" s="62">
        <f t="shared" si="146"/>
        <v>487.7</v>
      </c>
    </row>
    <row r="674" spans="1:10" ht="25.5" x14ac:dyDescent="0.2">
      <c r="A674" s="16" t="s">
        <v>853</v>
      </c>
      <c r="B674" s="16" t="s">
        <v>22</v>
      </c>
      <c r="C674" s="16">
        <v>95946</v>
      </c>
      <c r="D674" s="74" t="s">
        <v>668</v>
      </c>
      <c r="E674" s="29" t="s">
        <v>361</v>
      </c>
      <c r="F674" s="31">
        <v>0</v>
      </c>
      <c r="G674" s="19">
        <v>10.88</v>
      </c>
      <c r="H674" s="20">
        <v>0.26400000000000001</v>
      </c>
      <c r="I674" s="21">
        <f t="shared" si="145"/>
        <v>13.75</v>
      </c>
      <c r="J674" s="62">
        <f t="shared" si="146"/>
        <v>0</v>
      </c>
    </row>
    <row r="675" spans="1:10" ht="25.5" x14ac:dyDescent="0.2">
      <c r="A675" s="16" t="s">
        <v>854</v>
      </c>
      <c r="B675" s="32" t="s">
        <v>22</v>
      </c>
      <c r="C675" s="32">
        <v>95947</v>
      </c>
      <c r="D675" s="42" t="s">
        <v>680</v>
      </c>
      <c r="E675" s="32" t="s">
        <v>361</v>
      </c>
      <c r="F675" s="18">
        <v>59.3</v>
      </c>
      <c r="G675" s="19">
        <v>8.1260000000000012</v>
      </c>
      <c r="H675" s="35">
        <v>0.26400000000000001</v>
      </c>
      <c r="I675" s="36">
        <f t="shared" si="145"/>
        <v>10.27</v>
      </c>
      <c r="J675" s="71">
        <f t="shared" si="146"/>
        <v>609.01</v>
      </c>
    </row>
    <row r="676" spans="1:10" ht="25.5" x14ac:dyDescent="0.2">
      <c r="A676" s="16" t="s">
        <v>855</v>
      </c>
      <c r="B676" s="16" t="s">
        <v>22</v>
      </c>
      <c r="C676" s="16">
        <v>101986</v>
      </c>
      <c r="D676" s="74" t="s">
        <v>669</v>
      </c>
      <c r="E676" s="29" t="s">
        <v>24</v>
      </c>
      <c r="F676" s="31">
        <v>14.17</v>
      </c>
      <c r="G676" s="19">
        <v>137.01999999999998</v>
      </c>
      <c r="H676" s="20">
        <v>0.26400000000000001</v>
      </c>
      <c r="I676" s="21">
        <f t="shared" si="145"/>
        <v>173.19</v>
      </c>
      <c r="J676" s="62">
        <f t="shared" si="146"/>
        <v>2454.1</v>
      </c>
    </row>
    <row r="677" spans="1:10" x14ac:dyDescent="0.2">
      <c r="A677" s="16" t="s">
        <v>856</v>
      </c>
      <c r="B677" s="32" t="s">
        <v>22</v>
      </c>
      <c r="C677" s="32">
        <v>103686</v>
      </c>
      <c r="D677" s="42" t="s">
        <v>670</v>
      </c>
      <c r="E677" s="32" t="s">
        <v>51</v>
      </c>
      <c r="F677" s="31">
        <v>1.63</v>
      </c>
      <c r="G677" s="19">
        <v>707.25099999999998</v>
      </c>
      <c r="H677" s="35">
        <v>0.26400000000000001</v>
      </c>
      <c r="I677" s="36">
        <f t="shared" si="145"/>
        <v>893.97</v>
      </c>
      <c r="J677" s="71">
        <f t="shared" si="146"/>
        <v>1457.17</v>
      </c>
    </row>
    <row r="678" spans="1:10" x14ac:dyDescent="0.2">
      <c r="A678" s="77"/>
      <c r="B678" s="63"/>
      <c r="C678" s="63"/>
      <c r="D678" s="65" t="s">
        <v>108</v>
      </c>
      <c r="E678" s="63"/>
      <c r="F678" s="66"/>
      <c r="G678" s="67"/>
      <c r="H678" s="68"/>
      <c r="I678" s="69"/>
      <c r="J678" s="61">
        <f>SUM(J671:J677)</f>
        <v>5170.03</v>
      </c>
    </row>
    <row r="679" spans="1:10" x14ac:dyDescent="0.2">
      <c r="A679" s="25" t="s">
        <v>857</v>
      </c>
      <c r="B679" s="25"/>
      <c r="C679" s="25"/>
      <c r="D679" s="26" t="s">
        <v>681</v>
      </c>
      <c r="E679" s="25"/>
      <c r="F679" s="27"/>
      <c r="G679" s="28"/>
      <c r="H679" s="25"/>
      <c r="I679" s="25"/>
      <c r="J679" s="61"/>
    </row>
    <row r="680" spans="1:10" ht="25.5" x14ac:dyDescent="0.2">
      <c r="A680" s="16" t="s">
        <v>858</v>
      </c>
      <c r="B680" s="16" t="s">
        <v>22</v>
      </c>
      <c r="C680" s="29">
        <v>92759</v>
      </c>
      <c r="D680" s="30" t="s">
        <v>367</v>
      </c>
      <c r="E680" s="29" t="s">
        <v>361</v>
      </c>
      <c r="F680" s="31">
        <v>147.9</v>
      </c>
      <c r="G680" s="19">
        <v>12.427</v>
      </c>
      <c r="H680" s="20">
        <v>0.26400000000000001</v>
      </c>
      <c r="I680" s="21">
        <f t="shared" ref="I680:I688" si="147">ROUND((G680*(1+H680)),2)</f>
        <v>15.71</v>
      </c>
      <c r="J680" s="62">
        <f t="shared" ref="J680:J688" si="148">ROUND((I680*F680),2)</f>
        <v>2323.5100000000002</v>
      </c>
    </row>
    <row r="681" spans="1:10" ht="25.5" x14ac:dyDescent="0.2">
      <c r="A681" s="16" t="s">
        <v>859</v>
      </c>
      <c r="B681" s="16" t="s">
        <v>22</v>
      </c>
      <c r="C681" s="29">
        <v>92760</v>
      </c>
      <c r="D681" s="30" t="s">
        <v>656</v>
      </c>
      <c r="E681" s="29" t="s">
        <v>361</v>
      </c>
      <c r="F681" s="31">
        <v>0</v>
      </c>
      <c r="G681" s="19">
        <v>11.339</v>
      </c>
      <c r="H681" s="20">
        <v>0.26400000000000001</v>
      </c>
      <c r="I681" s="21">
        <f t="shared" si="147"/>
        <v>14.33</v>
      </c>
      <c r="J681" s="62">
        <f t="shared" si="148"/>
        <v>0</v>
      </c>
    </row>
    <row r="682" spans="1:10" ht="25.5" x14ac:dyDescent="0.2">
      <c r="A682" s="16" t="s">
        <v>860</v>
      </c>
      <c r="B682" s="16" t="s">
        <v>22</v>
      </c>
      <c r="C682" s="29">
        <v>92761</v>
      </c>
      <c r="D682" s="30" t="s">
        <v>369</v>
      </c>
      <c r="E682" s="29" t="s">
        <v>361</v>
      </c>
      <c r="F682" s="31">
        <v>0</v>
      </c>
      <c r="G682" s="19">
        <v>10.378500000000001</v>
      </c>
      <c r="H682" s="20">
        <v>0.26400000000000001</v>
      </c>
      <c r="I682" s="21">
        <f t="shared" si="147"/>
        <v>13.12</v>
      </c>
      <c r="J682" s="62">
        <f t="shared" si="148"/>
        <v>0</v>
      </c>
    </row>
    <row r="683" spans="1:10" ht="25.5" x14ac:dyDescent="0.2">
      <c r="A683" s="16" t="s">
        <v>861</v>
      </c>
      <c r="B683" s="16" t="s">
        <v>22</v>
      </c>
      <c r="C683" s="29">
        <v>92762</v>
      </c>
      <c r="D683" s="30" t="s">
        <v>371</v>
      </c>
      <c r="E683" s="29" t="s">
        <v>361</v>
      </c>
      <c r="F683" s="31">
        <v>372.5</v>
      </c>
      <c r="G683" s="19">
        <v>9.1374999999999993</v>
      </c>
      <c r="H683" s="20">
        <v>0.26400000000000001</v>
      </c>
      <c r="I683" s="21">
        <f t="shared" si="147"/>
        <v>11.55</v>
      </c>
      <c r="J683" s="62">
        <f t="shared" si="148"/>
        <v>4302.38</v>
      </c>
    </row>
    <row r="684" spans="1:10" ht="25.5" x14ac:dyDescent="0.2">
      <c r="A684" s="16" t="s">
        <v>862</v>
      </c>
      <c r="B684" s="16" t="s">
        <v>22</v>
      </c>
      <c r="C684" s="29">
        <v>92763</v>
      </c>
      <c r="D684" s="30" t="s">
        <v>657</v>
      </c>
      <c r="E684" s="29" t="s">
        <v>361</v>
      </c>
      <c r="F684" s="31">
        <v>0</v>
      </c>
      <c r="G684" s="19">
        <v>7.6160000000000005</v>
      </c>
      <c r="H684" s="20">
        <v>0.26400000000000001</v>
      </c>
      <c r="I684" s="21">
        <f t="shared" si="147"/>
        <v>9.6300000000000008</v>
      </c>
      <c r="J684" s="62">
        <f t="shared" si="148"/>
        <v>0</v>
      </c>
    </row>
    <row r="685" spans="1:10" ht="25.5" x14ac:dyDescent="0.2">
      <c r="A685" s="16" t="s">
        <v>863</v>
      </c>
      <c r="B685" s="16" t="s">
        <v>22</v>
      </c>
      <c r="C685" s="29">
        <v>92764</v>
      </c>
      <c r="D685" s="30" t="s">
        <v>658</v>
      </c>
      <c r="E685" s="29" t="s">
        <v>361</v>
      </c>
      <c r="F685" s="31">
        <v>0</v>
      </c>
      <c r="G685" s="19">
        <v>7.3014999999999999</v>
      </c>
      <c r="H685" s="20">
        <v>0.26400000000000001</v>
      </c>
      <c r="I685" s="21">
        <f t="shared" si="147"/>
        <v>9.23</v>
      </c>
      <c r="J685" s="62">
        <f t="shared" si="148"/>
        <v>0</v>
      </c>
    </row>
    <row r="686" spans="1:10" ht="25.5" x14ac:dyDescent="0.2">
      <c r="A686" s="16" t="s">
        <v>864</v>
      </c>
      <c r="B686" s="16" t="s">
        <v>22</v>
      </c>
      <c r="C686" s="29">
        <v>92765</v>
      </c>
      <c r="D686" s="30" t="s">
        <v>659</v>
      </c>
      <c r="E686" s="29" t="s">
        <v>361</v>
      </c>
      <c r="F686" s="31">
        <v>0</v>
      </c>
      <c r="G686" s="19">
        <v>8.2279999999999998</v>
      </c>
      <c r="H686" s="20">
        <v>0.26400000000000001</v>
      </c>
      <c r="I686" s="21">
        <f t="shared" si="147"/>
        <v>10.4</v>
      </c>
      <c r="J686" s="62">
        <f t="shared" si="148"/>
        <v>0</v>
      </c>
    </row>
    <row r="687" spans="1:10" ht="25.5" x14ac:dyDescent="0.2">
      <c r="A687" s="16" t="s">
        <v>865</v>
      </c>
      <c r="B687" s="16" t="s">
        <v>22</v>
      </c>
      <c r="C687" s="29">
        <v>92415</v>
      </c>
      <c r="D687" s="30" t="s">
        <v>373</v>
      </c>
      <c r="E687" s="29" t="s">
        <v>24</v>
      </c>
      <c r="F687" s="31">
        <v>88.16</v>
      </c>
      <c r="G687" s="19">
        <v>148.036</v>
      </c>
      <c r="H687" s="20">
        <v>0.26400000000000001</v>
      </c>
      <c r="I687" s="21">
        <f t="shared" si="147"/>
        <v>187.12</v>
      </c>
      <c r="J687" s="62">
        <f t="shared" si="148"/>
        <v>16496.5</v>
      </c>
    </row>
    <row r="688" spans="1:10" x14ac:dyDescent="0.2">
      <c r="A688" s="16" t="s">
        <v>866</v>
      </c>
      <c r="B688" s="32" t="s">
        <v>22</v>
      </c>
      <c r="C688" s="32">
        <v>103672</v>
      </c>
      <c r="D688" s="33" t="s">
        <v>375</v>
      </c>
      <c r="E688" s="32" t="s">
        <v>51</v>
      </c>
      <c r="F688" s="18">
        <v>5.8900000000000006</v>
      </c>
      <c r="G688" s="19">
        <v>637.22799999999995</v>
      </c>
      <c r="H688" s="35">
        <v>0.26400000000000001</v>
      </c>
      <c r="I688" s="36">
        <f t="shared" si="147"/>
        <v>805.46</v>
      </c>
      <c r="J688" s="71">
        <f t="shared" si="148"/>
        <v>4744.16</v>
      </c>
    </row>
    <row r="689" spans="1:10" x14ac:dyDescent="0.2">
      <c r="A689" s="77"/>
      <c r="B689" s="63"/>
      <c r="C689" s="63"/>
      <c r="D689" s="65" t="s">
        <v>108</v>
      </c>
      <c r="E689" s="63"/>
      <c r="F689" s="66"/>
      <c r="G689" s="67"/>
      <c r="H689" s="68"/>
      <c r="I689" s="69"/>
      <c r="J689" s="61">
        <f>SUM(J680:J688)</f>
        <v>27866.55</v>
      </c>
    </row>
    <row r="690" spans="1:10" x14ac:dyDescent="0.2">
      <c r="A690" s="25" t="s">
        <v>867</v>
      </c>
      <c r="B690" s="25"/>
      <c r="C690" s="25"/>
      <c r="D690" s="26" t="s">
        <v>682</v>
      </c>
      <c r="E690" s="25"/>
      <c r="F690" s="27"/>
      <c r="G690" s="28"/>
      <c r="H690" s="25"/>
      <c r="I690" s="25"/>
      <c r="J690" s="61"/>
    </row>
    <row r="691" spans="1:10" ht="25.5" x14ac:dyDescent="0.2">
      <c r="A691" s="16" t="s">
        <v>868</v>
      </c>
      <c r="B691" s="16" t="s">
        <v>22</v>
      </c>
      <c r="C691" s="29">
        <v>92759</v>
      </c>
      <c r="D691" s="30" t="s">
        <v>367</v>
      </c>
      <c r="E691" s="29" t="s">
        <v>361</v>
      </c>
      <c r="F691" s="76">
        <v>64.099999999999994</v>
      </c>
      <c r="G691" s="19">
        <v>12.427</v>
      </c>
      <c r="H691" s="20">
        <v>0.26400000000000001</v>
      </c>
      <c r="I691" s="21">
        <f t="shared" ref="I691:I699" si="149">ROUND((G691*(1+H691)),2)</f>
        <v>15.71</v>
      </c>
      <c r="J691" s="62">
        <f t="shared" ref="J691:J699" si="150">ROUND((I691*F691),2)</f>
        <v>1007.01</v>
      </c>
    </row>
    <row r="692" spans="1:10" ht="25.5" x14ac:dyDescent="0.2">
      <c r="A692" s="16" t="s">
        <v>869</v>
      </c>
      <c r="B692" s="16" t="s">
        <v>22</v>
      </c>
      <c r="C692" s="29">
        <v>92760</v>
      </c>
      <c r="D692" s="30" t="s">
        <v>656</v>
      </c>
      <c r="E692" s="29" t="s">
        <v>361</v>
      </c>
      <c r="F692" s="76">
        <v>0.9</v>
      </c>
      <c r="G692" s="19">
        <v>11.339</v>
      </c>
      <c r="H692" s="20">
        <v>0.26400000000000001</v>
      </c>
      <c r="I692" s="21">
        <f t="shared" si="149"/>
        <v>14.33</v>
      </c>
      <c r="J692" s="62">
        <f t="shared" si="150"/>
        <v>12.9</v>
      </c>
    </row>
    <row r="693" spans="1:10" ht="25.5" x14ac:dyDescent="0.2">
      <c r="A693" s="16" t="s">
        <v>870</v>
      </c>
      <c r="B693" s="16" t="s">
        <v>22</v>
      </c>
      <c r="C693" s="29">
        <v>92761</v>
      </c>
      <c r="D693" s="30" t="s">
        <v>369</v>
      </c>
      <c r="E693" s="29" t="s">
        <v>361</v>
      </c>
      <c r="F693" s="76">
        <v>170.9</v>
      </c>
      <c r="G693" s="19">
        <v>10.378500000000001</v>
      </c>
      <c r="H693" s="20">
        <v>0.26400000000000001</v>
      </c>
      <c r="I693" s="21">
        <f t="shared" si="149"/>
        <v>13.12</v>
      </c>
      <c r="J693" s="62">
        <f t="shared" si="150"/>
        <v>2242.21</v>
      </c>
    </row>
    <row r="694" spans="1:10" ht="25.5" x14ac:dyDescent="0.2">
      <c r="A694" s="16" t="s">
        <v>871</v>
      </c>
      <c r="B694" s="16" t="s">
        <v>22</v>
      </c>
      <c r="C694" s="29">
        <v>92762</v>
      </c>
      <c r="D694" s="30" t="s">
        <v>371</v>
      </c>
      <c r="E694" s="29" t="s">
        <v>361</v>
      </c>
      <c r="F694" s="76">
        <v>0</v>
      </c>
      <c r="G694" s="19">
        <v>9.1374999999999993</v>
      </c>
      <c r="H694" s="20">
        <v>0.26400000000000001</v>
      </c>
      <c r="I694" s="21">
        <f t="shared" si="149"/>
        <v>11.55</v>
      </c>
      <c r="J694" s="62">
        <f t="shared" si="150"/>
        <v>0</v>
      </c>
    </row>
    <row r="695" spans="1:10" ht="25.5" x14ac:dyDescent="0.2">
      <c r="A695" s="16" t="s">
        <v>872</v>
      </c>
      <c r="B695" s="16" t="s">
        <v>22</v>
      </c>
      <c r="C695" s="29">
        <v>92763</v>
      </c>
      <c r="D695" s="30" t="s">
        <v>657</v>
      </c>
      <c r="E695" s="29" t="s">
        <v>361</v>
      </c>
      <c r="F695" s="76">
        <v>0</v>
      </c>
      <c r="G695" s="19">
        <v>7.6160000000000005</v>
      </c>
      <c r="H695" s="20">
        <v>0.26400000000000001</v>
      </c>
      <c r="I695" s="21">
        <f t="shared" si="149"/>
        <v>9.6300000000000008</v>
      </c>
      <c r="J695" s="62">
        <f t="shared" si="150"/>
        <v>0</v>
      </c>
    </row>
    <row r="696" spans="1:10" ht="25.5" x14ac:dyDescent="0.2">
      <c r="A696" s="16" t="s">
        <v>873</v>
      </c>
      <c r="B696" s="16" t="s">
        <v>22</v>
      </c>
      <c r="C696" s="29">
        <v>92764</v>
      </c>
      <c r="D696" s="30" t="s">
        <v>658</v>
      </c>
      <c r="E696" s="29" t="s">
        <v>361</v>
      </c>
      <c r="F696" s="76">
        <v>0</v>
      </c>
      <c r="G696" s="19">
        <v>7.3014999999999999</v>
      </c>
      <c r="H696" s="20">
        <v>0.26400000000000001</v>
      </c>
      <c r="I696" s="21">
        <f t="shared" si="149"/>
        <v>9.23</v>
      </c>
      <c r="J696" s="62">
        <f t="shared" si="150"/>
        <v>0</v>
      </c>
    </row>
    <row r="697" spans="1:10" ht="25.5" x14ac:dyDescent="0.2">
      <c r="A697" s="16" t="s">
        <v>874</v>
      </c>
      <c r="B697" s="16" t="s">
        <v>22</v>
      </c>
      <c r="C697" s="29">
        <v>92765</v>
      </c>
      <c r="D697" s="30" t="s">
        <v>659</v>
      </c>
      <c r="E697" s="29" t="s">
        <v>361</v>
      </c>
      <c r="F697" s="76">
        <v>0</v>
      </c>
      <c r="G697" s="19">
        <v>8.2279999999999998</v>
      </c>
      <c r="H697" s="20">
        <v>0.26400000000000001</v>
      </c>
      <c r="I697" s="21">
        <f t="shared" si="149"/>
        <v>10.4</v>
      </c>
      <c r="J697" s="62">
        <f t="shared" si="150"/>
        <v>0</v>
      </c>
    </row>
    <row r="698" spans="1:10" ht="25.5" x14ac:dyDescent="0.2">
      <c r="A698" s="16" t="s">
        <v>875</v>
      </c>
      <c r="B698" s="32" t="s">
        <v>22</v>
      </c>
      <c r="C698" s="32">
        <v>92452</v>
      </c>
      <c r="D698" s="33" t="s">
        <v>662</v>
      </c>
      <c r="E698" s="32" t="s">
        <v>24</v>
      </c>
      <c r="F698" s="76">
        <v>91.389999999999986</v>
      </c>
      <c r="G698" s="19">
        <v>212.93349999999998</v>
      </c>
      <c r="H698" s="35">
        <v>0.26400000000000001</v>
      </c>
      <c r="I698" s="36">
        <f t="shared" si="149"/>
        <v>269.14999999999998</v>
      </c>
      <c r="J698" s="62">
        <f t="shared" si="150"/>
        <v>24597.62</v>
      </c>
    </row>
    <row r="699" spans="1:10" ht="25.5" x14ac:dyDescent="0.2">
      <c r="A699" s="16" t="s">
        <v>876</v>
      </c>
      <c r="B699" s="32" t="s">
        <v>22</v>
      </c>
      <c r="C699" s="32">
        <v>103675</v>
      </c>
      <c r="D699" s="33" t="s">
        <v>663</v>
      </c>
      <c r="E699" s="32" t="s">
        <v>51</v>
      </c>
      <c r="F699" s="76">
        <v>5.76</v>
      </c>
      <c r="G699" s="19">
        <v>638.46900000000005</v>
      </c>
      <c r="H699" s="35">
        <v>0.26400000000000001</v>
      </c>
      <c r="I699" s="36">
        <f t="shared" si="149"/>
        <v>807.02</v>
      </c>
      <c r="J699" s="71">
        <f t="shared" si="150"/>
        <v>4648.4399999999996</v>
      </c>
    </row>
    <row r="700" spans="1:10" x14ac:dyDescent="0.2">
      <c r="A700" s="77"/>
      <c r="B700" s="63"/>
      <c r="C700" s="63"/>
      <c r="D700" s="65" t="s">
        <v>108</v>
      </c>
      <c r="E700" s="63"/>
      <c r="F700" s="66"/>
      <c r="G700" s="67"/>
      <c r="H700" s="68"/>
      <c r="I700" s="69"/>
      <c r="J700" s="61">
        <f>SUM(J691:J699)</f>
        <v>32508.179999999997</v>
      </c>
    </row>
    <row r="701" spans="1:10" x14ac:dyDescent="0.2">
      <c r="A701" s="25" t="s">
        <v>878</v>
      </c>
      <c r="B701" s="25"/>
      <c r="C701" s="25"/>
      <c r="D701" s="26" t="s">
        <v>675</v>
      </c>
      <c r="E701" s="25"/>
      <c r="F701" s="27"/>
      <c r="G701" s="28"/>
      <c r="H701" s="25"/>
      <c r="I701" s="25"/>
      <c r="J701" s="61"/>
    </row>
    <row r="702" spans="1:10" ht="25.5" x14ac:dyDescent="0.2">
      <c r="A702" s="16" t="s">
        <v>877</v>
      </c>
      <c r="B702" s="16" t="s">
        <v>22</v>
      </c>
      <c r="C702" s="29">
        <v>92759</v>
      </c>
      <c r="D702" s="30" t="s">
        <v>367</v>
      </c>
      <c r="E702" s="29" t="s">
        <v>361</v>
      </c>
      <c r="F702" s="31">
        <v>93.9</v>
      </c>
      <c r="G702" s="19">
        <v>12.427</v>
      </c>
      <c r="H702" s="20">
        <v>0.26400000000000001</v>
      </c>
      <c r="I702" s="21">
        <f t="shared" ref="I702:I710" si="151">ROUND((G702*(1+H702)),2)</f>
        <v>15.71</v>
      </c>
      <c r="J702" s="62">
        <f t="shared" ref="J702:J710" si="152">ROUND((I702*F702),2)</f>
        <v>1475.17</v>
      </c>
    </row>
    <row r="703" spans="1:10" ht="25.5" x14ac:dyDescent="0.2">
      <c r="A703" s="16" t="s">
        <v>879</v>
      </c>
      <c r="B703" s="16" t="s">
        <v>22</v>
      </c>
      <c r="C703" s="29">
        <v>92760</v>
      </c>
      <c r="D703" s="30" t="s">
        <v>656</v>
      </c>
      <c r="E703" s="29" t="s">
        <v>361</v>
      </c>
      <c r="F703" s="31">
        <v>0</v>
      </c>
      <c r="G703" s="19">
        <v>11.339</v>
      </c>
      <c r="H703" s="20">
        <v>0.26400000000000001</v>
      </c>
      <c r="I703" s="21">
        <f t="shared" si="151"/>
        <v>14.33</v>
      </c>
      <c r="J703" s="62">
        <f t="shared" si="152"/>
        <v>0</v>
      </c>
    </row>
    <row r="704" spans="1:10" ht="25.5" x14ac:dyDescent="0.2">
      <c r="A704" s="16" t="s">
        <v>880</v>
      </c>
      <c r="B704" s="16" t="s">
        <v>22</v>
      </c>
      <c r="C704" s="29">
        <v>92761</v>
      </c>
      <c r="D704" s="30" t="s">
        <v>369</v>
      </c>
      <c r="E704" s="29" t="s">
        <v>361</v>
      </c>
      <c r="F704" s="31">
        <v>0</v>
      </c>
      <c r="G704" s="19">
        <v>10.378500000000001</v>
      </c>
      <c r="H704" s="20">
        <v>0.26400000000000001</v>
      </c>
      <c r="I704" s="21">
        <f t="shared" si="151"/>
        <v>13.12</v>
      </c>
      <c r="J704" s="62">
        <f t="shared" si="152"/>
        <v>0</v>
      </c>
    </row>
    <row r="705" spans="1:10" ht="25.5" x14ac:dyDescent="0.2">
      <c r="A705" s="16" t="s">
        <v>881</v>
      </c>
      <c r="B705" s="16" t="s">
        <v>22</v>
      </c>
      <c r="C705" s="29">
        <v>92762</v>
      </c>
      <c r="D705" s="30" t="s">
        <v>371</v>
      </c>
      <c r="E705" s="29" t="s">
        <v>361</v>
      </c>
      <c r="F705" s="31">
        <v>164.8</v>
      </c>
      <c r="G705" s="19">
        <v>9.1374999999999993</v>
      </c>
      <c r="H705" s="20">
        <v>0.26400000000000001</v>
      </c>
      <c r="I705" s="21">
        <f t="shared" si="151"/>
        <v>11.55</v>
      </c>
      <c r="J705" s="62">
        <f t="shared" si="152"/>
        <v>1903.44</v>
      </c>
    </row>
    <row r="706" spans="1:10" ht="25.5" x14ac:dyDescent="0.2">
      <c r="A706" s="16" t="s">
        <v>882</v>
      </c>
      <c r="B706" s="16" t="s">
        <v>22</v>
      </c>
      <c r="C706" s="29">
        <v>92763</v>
      </c>
      <c r="D706" s="30" t="s">
        <v>657</v>
      </c>
      <c r="E706" s="29" t="s">
        <v>361</v>
      </c>
      <c r="F706" s="31">
        <v>0</v>
      </c>
      <c r="G706" s="19">
        <v>7.6160000000000005</v>
      </c>
      <c r="H706" s="20">
        <v>0.26400000000000001</v>
      </c>
      <c r="I706" s="21">
        <f t="shared" si="151"/>
        <v>9.6300000000000008</v>
      </c>
      <c r="J706" s="62">
        <f t="shared" si="152"/>
        <v>0</v>
      </c>
    </row>
    <row r="707" spans="1:10" ht="25.5" x14ac:dyDescent="0.2">
      <c r="A707" s="16" t="s">
        <v>883</v>
      </c>
      <c r="B707" s="16" t="s">
        <v>22</v>
      </c>
      <c r="C707" s="29">
        <v>92764</v>
      </c>
      <c r="D707" s="30" t="s">
        <v>658</v>
      </c>
      <c r="E707" s="29" t="s">
        <v>361</v>
      </c>
      <c r="F707" s="31">
        <v>0</v>
      </c>
      <c r="G707" s="19">
        <v>7.3014999999999999</v>
      </c>
      <c r="H707" s="20">
        <v>0.26400000000000001</v>
      </c>
      <c r="I707" s="21">
        <f t="shared" si="151"/>
        <v>9.23</v>
      </c>
      <c r="J707" s="62">
        <f t="shared" si="152"/>
        <v>0</v>
      </c>
    </row>
    <row r="708" spans="1:10" ht="25.5" x14ac:dyDescent="0.2">
      <c r="A708" s="16" t="s">
        <v>884</v>
      </c>
      <c r="B708" s="16" t="s">
        <v>22</v>
      </c>
      <c r="C708" s="29">
        <v>92765</v>
      </c>
      <c r="D708" s="30" t="s">
        <v>659</v>
      </c>
      <c r="E708" s="29" t="s">
        <v>361</v>
      </c>
      <c r="F708" s="31">
        <v>0</v>
      </c>
      <c r="G708" s="19">
        <v>8.2279999999999998</v>
      </c>
      <c r="H708" s="20">
        <v>0.26400000000000001</v>
      </c>
      <c r="I708" s="21">
        <f t="shared" si="151"/>
        <v>10.4</v>
      </c>
      <c r="J708" s="62">
        <f t="shared" si="152"/>
        <v>0</v>
      </c>
    </row>
    <row r="709" spans="1:10" ht="25.5" x14ac:dyDescent="0.2">
      <c r="A709" s="16" t="s">
        <v>885</v>
      </c>
      <c r="B709" s="16" t="s">
        <v>22</v>
      </c>
      <c r="C709" s="29">
        <v>92415</v>
      </c>
      <c r="D709" s="30" t="s">
        <v>373</v>
      </c>
      <c r="E709" s="29" t="s">
        <v>24</v>
      </c>
      <c r="F709" s="31">
        <v>56.2</v>
      </c>
      <c r="G709" s="19">
        <v>148.036</v>
      </c>
      <c r="H709" s="20">
        <v>0.26400000000000001</v>
      </c>
      <c r="I709" s="21">
        <f t="shared" si="151"/>
        <v>187.12</v>
      </c>
      <c r="J709" s="62">
        <f t="shared" si="152"/>
        <v>10516.14</v>
      </c>
    </row>
    <row r="710" spans="1:10" x14ac:dyDescent="0.2">
      <c r="A710" s="16" t="s">
        <v>886</v>
      </c>
      <c r="B710" s="32" t="s">
        <v>22</v>
      </c>
      <c r="C710" s="32">
        <v>103672</v>
      </c>
      <c r="D710" s="33" t="s">
        <v>375</v>
      </c>
      <c r="E710" s="32" t="s">
        <v>51</v>
      </c>
      <c r="F710" s="18">
        <v>3.78</v>
      </c>
      <c r="G710" s="19">
        <v>637.22799999999995</v>
      </c>
      <c r="H710" s="35">
        <v>0.26400000000000001</v>
      </c>
      <c r="I710" s="36">
        <f t="shared" si="151"/>
        <v>805.46</v>
      </c>
      <c r="J710" s="71">
        <f t="shared" si="152"/>
        <v>3044.64</v>
      </c>
    </row>
    <row r="711" spans="1:10" x14ac:dyDescent="0.2">
      <c r="A711" s="77"/>
      <c r="B711" s="63"/>
      <c r="C711" s="63"/>
      <c r="D711" s="65" t="s">
        <v>108</v>
      </c>
      <c r="E711" s="63"/>
      <c r="F711" s="66"/>
      <c r="G711" s="67"/>
      <c r="H711" s="68"/>
      <c r="I711" s="69"/>
      <c r="J711" s="61">
        <f>SUM(J702:J710)</f>
        <v>16939.39</v>
      </c>
    </row>
    <row r="712" spans="1:10" x14ac:dyDescent="0.2">
      <c r="A712" s="25" t="s">
        <v>887</v>
      </c>
      <c r="B712" s="25"/>
      <c r="C712" s="25"/>
      <c r="D712" s="26" t="s">
        <v>676</v>
      </c>
      <c r="E712" s="25"/>
      <c r="F712" s="27"/>
      <c r="G712" s="28"/>
      <c r="H712" s="25"/>
      <c r="I712" s="25"/>
      <c r="J712" s="61"/>
    </row>
    <row r="713" spans="1:10" ht="25.5" x14ac:dyDescent="0.2">
      <c r="A713" s="16" t="s">
        <v>888</v>
      </c>
      <c r="B713" s="16" t="s">
        <v>22</v>
      </c>
      <c r="C713" s="29">
        <v>92759</v>
      </c>
      <c r="D713" s="30" t="s">
        <v>367</v>
      </c>
      <c r="E713" s="29" t="s">
        <v>361</v>
      </c>
      <c r="F713" s="76">
        <v>89.7</v>
      </c>
      <c r="G713" s="19">
        <v>12.427</v>
      </c>
      <c r="H713" s="20">
        <v>0.26400000000000001</v>
      </c>
      <c r="I713" s="21">
        <f t="shared" ref="I713:I721" si="153">ROUND((G713*(1+H713)),2)</f>
        <v>15.71</v>
      </c>
      <c r="J713" s="62">
        <f t="shared" ref="J713:J721" si="154">ROUND((I713*F713),2)</f>
        <v>1409.19</v>
      </c>
    </row>
    <row r="714" spans="1:10" ht="25.5" x14ac:dyDescent="0.2">
      <c r="A714" s="16" t="s">
        <v>889</v>
      </c>
      <c r="B714" s="16" t="s">
        <v>22</v>
      </c>
      <c r="C714" s="29">
        <v>92760</v>
      </c>
      <c r="D714" s="30" t="s">
        <v>656</v>
      </c>
      <c r="E714" s="29" t="s">
        <v>361</v>
      </c>
      <c r="F714" s="76">
        <v>0</v>
      </c>
      <c r="G714" s="19">
        <v>11.339</v>
      </c>
      <c r="H714" s="20">
        <v>0.26400000000000001</v>
      </c>
      <c r="I714" s="21">
        <f t="shared" si="153"/>
        <v>14.33</v>
      </c>
      <c r="J714" s="62">
        <f t="shared" si="154"/>
        <v>0</v>
      </c>
    </row>
    <row r="715" spans="1:10" ht="25.5" x14ac:dyDescent="0.2">
      <c r="A715" s="16" t="s">
        <v>890</v>
      </c>
      <c r="B715" s="16" t="s">
        <v>22</v>
      </c>
      <c r="C715" s="29">
        <v>92761</v>
      </c>
      <c r="D715" s="30" t="s">
        <v>369</v>
      </c>
      <c r="E715" s="29" t="s">
        <v>361</v>
      </c>
      <c r="F715" s="76">
        <v>139.4</v>
      </c>
      <c r="G715" s="19">
        <v>10.378500000000001</v>
      </c>
      <c r="H715" s="20">
        <v>0.26400000000000001</v>
      </c>
      <c r="I715" s="21">
        <f t="shared" si="153"/>
        <v>13.12</v>
      </c>
      <c r="J715" s="62">
        <f t="shared" si="154"/>
        <v>1828.93</v>
      </c>
    </row>
    <row r="716" spans="1:10" ht="25.5" x14ac:dyDescent="0.2">
      <c r="A716" s="16" t="s">
        <v>891</v>
      </c>
      <c r="B716" s="16" t="s">
        <v>22</v>
      </c>
      <c r="C716" s="29">
        <v>92762</v>
      </c>
      <c r="D716" s="30" t="s">
        <v>371</v>
      </c>
      <c r="E716" s="29" t="s">
        <v>361</v>
      </c>
      <c r="F716" s="76">
        <v>0</v>
      </c>
      <c r="G716" s="19">
        <v>9.1374999999999993</v>
      </c>
      <c r="H716" s="20">
        <v>0.26400000000000001</v>
      </c>
      <c r="I716" s="21">
        <f t="shared" si="153"/>
        <v>11.55</v>
      </c>
      <c r="J716" s="62">
        <f t="shared" si="154"/>
        <v>0</v>
      </c>
    </row>
    <row r="717" spans="1:10" ht="25.5" x14ac:dyDescent="0.2">
      <c r="A717" s="16" t="s">
        <v>892</v>
      </c>
      <c r="B717" s="16" t="s">
        <v>22</v>
      </c>
      <c r="C717" s="29">
        <v>92763</v>
      </c>
      <c r="D717" s="30" t="s">
        <v>657</v>
      </c>
      <c r="E717" s="29" t="s">
        <v>361</v>
      </c>
      <c r="F717" s="76">
        <v>0</v>
      </c>
      <c r="G717" s="19">
        <v>7.6160000000000005</v>
      </c>
      <c r="H717" s="20">
        <v>0.26400000000000001</v>
      </c>
      <c r="I717" s="21">
        <f t="shared" si="153"/>
        <v>9.6300000000000008</v>
      </c>
      <c r="J717" s="62">
        <f t="shared" si="154"/>
        <v>0</v>
      </c>
    </row>
    <row r="718" spans="1:10" ht="25.5" x14ac:dyDescent="0.2">
      <c r="A718" s="16" t="s">
        <v>893</v>
      </c>
      <c r="B718" s="16" t="s">
        <v>22</v>
      </c>
      <c r="C718" s="29">
        <v>92764</v>
      </c>
      <c r="D718" s="30" t="s">
        <v>658</v>
      </c>
      <c r="E718" s="29" t="s">
        <v>361</v>
      </c>
      <c r="F718" s="76">
        <v>0</v>
      </c>
      <c r="G718" s="19">
        <v>7.3014999999999999</v>
      </c>
      <c r="H718" s="20">
        <v>0.26400000000000001</v>
      </c>
      <c r="I718" s="21">
        <f t="shared" si="153"/>
        <v>9.23</v>
      </c>
      <c r="J718" s="62">
        <f t="shared" si="154"/>
        <v>0</v>
      </c>
    </row>
    <row r="719" spans="1:10" ht="25.5" x14ac:dyDescent="0.2">
      <c r="A719" s="16" t="s">
        <v>894</v>
      </c>
      <c r="B719" s="16" t="s">
        <v>22</v>
      </c>
      <c r="C719" s="29">
        <v>92765</v>
      </c>
      <c r="D719" s="30" t="s">
        <v>659</v>
      </c>
      <c r="E719" s="29" t="s">
        <v>361</v>
      </c>
      <c r="F719" s="76">
        <v>0</v>
      </c>
      <c r="G719" s="19">
        <v>8.2279999999999998</v>
      </c>
      <c r="H719" s="20">
        <v>0.26400000000000001</v>
      </c>
      <c r="I719" s="21">
        <f t="shared" si="153"/>
        <v>10.4</v>
      </c>
      <c r="J719" s="62">
        <f t="shared" si="154"/>
        <v>0</v>
      </c>
    </row>
    <row r="720" spans="1:10" ht="25.5" x14ac:dyDescent="0.2">
      <c r="A720" s="16" t="s">
        <v>895</v>
      </c>
      <c r="B720" s="32" t="s">
        <v>22</v>
      </c>
      <c r="C720" s="32">
        <v>92452</v>
      </c>
      <c r="D720" s="33" t="s">
        <v>662</v>
      </c>
      <c r="E720" s="32" t="s">
        <v>24</v>
      </c>
      <c r="F720" s="76">
        <v>45.089999999999996</v>
      </c>
      <c r="G720" s="19">
        <v>212.93349999999998</v>
      </c>
      <c r="H720" s="35">
        <v>0.26400000000000001</v>
      </c>
      <c r="I720" s="36">
        <f t="shared" si="153"/>
        <v>269.14999999999998</v>
      </c>
      <c r="J720" s="62">
        <f t="shared" si="154"/>
        <v>12135.97</v>
      </c>
    </row>
    <row r="721" spans="1:11" ht="25.5" x14ac:dyDescent="0.2">
      <c r="A721" s="16" t="s">
        <v>896</v>
      </c>
      <c r="B721" s="32" t="s">
        <v>22</v>
      </c>
      <c r="C721" s="32">
        <v>103675</v>
      </c>
      <c r="D721" s="33" t="s">
        <v>663</v>
      </c>
      <c r="E721" s="32" t="s">
        <v>51</v>
      </c>
      <c r="F721" s="76">
        <v>2.4700000000000002</v>
      </c>
      <c r="G721" s="19">
        <v>638.46900000000005</v>
      </c>
      <c r="H721" s="35">
        <v>0.26400000000000001</v>
      </c>
      <c r="I721" s="36">
        <f t="shared" si="153"/>
        <v>807.02</v>
      </c>
      <c r="J721" s="71">
        <f t="shared" si="154"/>
        <v>1993.34</v>
      </c>
    </row>
    <row r="722" spans="1:11" x14ac:dyDescent="0.2">
      <c r="A722" s="77"/>
      <c r="B722" s="63"/>
      <c r="C722" s="63"/>
      <c r="D722" s="65" t="s">
        <v>108</v>
      </c>
      <c r="E722" s="63"/>
      <c r="F722" s="66"/>
      <c r="G722" s="67"/>
      <c r="H722" s="68"/>
      <c r="I722" s="69"/>
      <c r="J722" s="61">
        <f>SUM(J713:J721)</f>
        <v>17367.43</v>
      </c>
    </row>
    <row r="723" spans="1:11" x14ac:dyDescent="0.2">
      <c r="A723" s="144" t="s">
        <v>43</v>
      </c>
      <c r="B723" s="145"/>
      <c r="C723" s="145"/>
      <c r="D723" s="145"/>
      <c r="E723" s="145"/>
      <c r="F723" s="145"/>
      <c r="G723" s="145"/>
      <c r="H723" s="145"/>
      <c r="I723" s="146"/>
      <c r="J723" s="60">
        <f>J722+J711+J700+J689+J678+J669+J659+J648+J637+J627</f>
        <v>358067.47999999992</v>
      </c>
    </row>
    <row r="724" spans="1:11" s="24" customFormat="1" x14ac:dyDescent="0.2">
      <c r="A724" s="12">
        <v>18</v>
      </c>
      <c r="B724" s="12"/>
      <c r="C724" s="12"/>
      <c r="D724" s="13" t="s">
        <v>1118</v>
      </c>
      <c r="E724" s="12"/>
      <c r="F724" s="14"/>
      <c r="G724" s="15"/>
      <c r="H724" s="12"/>
      <c r="I724" s="12"/>
      <c r="J724" s="60"/>
      <c r="K724" s="23"/>
    </row>
    <row r="725" spans="1:11" s="24" customFormat="1" x14ac:dyDescent="0.2">
      <c r="A725" s="25" t="s">
        <v>897</v>
      </c>
      <c r="B725" s="25"/>
      <c r="C725" s="25"/>
      <c r="D725" s="26" t="s">
        <v>1117</v>
      </c>
      <c r="E725" s="25"/>
      <c r="F725" s="27"/>
      <c r="G725" s="28"/>
      <c r="H725" s="25"/>
      <c r="I725" s="25"/>
      <c r="J725" s="61"/>
      <c r="K725" s="23"/>
    </row>
    <row r="726" spans="1:11" ht="25.5" x14ac:dyDescent="0.2">
      <c r="A726" s="16" t="s">
        <v>898</v>
      </c>
      <c r="B726" s="16" t="s">
        <v>22</v>
      </c>
      <c r="C726" s="16">
        <v>97668</v>
      </c>
      <c r="D726" s="17" t="s">
        <v>1016</v>
      </c>
      <c r="E726" s="16" t="s">
        <v>38</v>
      </c>
      <c r="F726" s="18">
        <v>30</v>
      </c>
      <c r="G726" s="19">
        <v>12.42</v>
      </c>
      <c r="H726" s="20">
        <v>0.26400000000000001</v>
      </c>
      <c r="I726" s="21">
        <f t="shared" ref="I726:I733" si="155">ROUND((G726*(1+H726)),2)</f>
        <v>15.7</v>
      </c>
      <c r="J726" s="62">
        <f t="shared" ref="J726:J733" si="156">ROUND((I726*F726),2)</f>
        <v>471</v>
      </c>
    </row>
    <row r="727" spans="1:11" ht="25.5" x14ac:dyDescent="0.2">
      <c r="A727" s="16" t="s">
        <v>899</v>
      </c>
      <c r="B727" s="16" t="s">
        <v>22</v>
      </c>
      <c r="C727" s="16">
        <v>92988</v>
      </c>
      <c r="D727" s="17" t="s">
        <v>1017</v>
      </c>
      <c r="E727" s="16" t="s">
        <v>38</v>
      </c>
      <c r="F727" s="18">
        <v>72</v>
      </c>
      <c r="G727" s="19">
        <v>65.75</v>
      </c>
      <c r="H727" s="20">
        <v>0.26400000000000001</v>
      </c>
      <c r="I727" s="21">
        <f t="shared" si="155"/>
        <v>83.11</v>
      </c>
      <c r="J727" s="62">
        <f t="shared" si="156"/>
        <v>5983.92</v>
      </c>
    </row>
    <row r="728" spans="1:11" ht="25.5" x14ac:dyDescent="0.2">
      <c r="A728" s="16" t="s">
        <v>900</v>
      </c>
      <c r="B728" s="16" t="s">
        <v>22</v>
      </c>
      <c r="C728" s="16">
        <v>92984</v>
      </c>
      <c r="D728" s="17" t="s">
        <v>1018</v>
      </c>
      <c r="E728" s="16" t="s">
        <v>38</v>
      </c>
      <c r="F728" s="18">
        <v>18</v>
      </c>
      <c r="G728" s="19">
        <v>32.979999999999997</v>
      </c>
      <c r="H728" s="20">
        <v>0.26400000000000001</v>
      </c>
      <c r="I728" s="21">
        <f t="shared" si="155"/>
        <v>41.69</v>
      </c>
      <c r="J728" s="62">
        <f t="shared" si="156"/>
        <v>750.42</v>
      </c>
    </row>
    <row r="729" spans="1:11" x14ac:dyDescent="0.2">
      <c r="A729" s="16" t="s">
        <v>901</v>
      </c>
      <c r="B729" s="16" t="s">
        <v>22</v>
      </c>
      <c r="C729" s="16">
        <v>93358</v>
      </c>
      <c r="D729" s="17" t="s">
        <v>59</v>
      </c>
      <c r="E729" s="16" t="s">
        <v>51</v>
      </c>
      <c r="F729" s="18">
        <v>4.5</v>
      </c>
      <c r="G729" s="19">
        <v>99.25</v>
      </c>
      <c r="H729" s="20">
        <v>0.26400000000000001</v>
      </c>
      <c r="I729" s="21">
        <f t="shared" si="155"/>
        <v>125.45</v>
      </c>
      <c r="J729" s="62">
        <f t="shared" si="156"/>
        <v>564.53</v>
      </c>
    </row>
    <row r="730" spans="1:11" x14ac:dyDescent="0.2">
      <c r="A730" s="16" t="s">
        <v>902</v>
      </c>
      <c r="B730" s="16" t="s">
        <v>22</v>
      </c>
      <c r="C730" s="16">
        <v>93382</v>
      </c>
      <c r="D730" s="17" t="s">
        <v>1019</v>
      </c>
      <c r="E730" s="16" t="s">
        <v>51</v>
      </c>
      <c r="F730" s="18">
        <v>4.5</v>
      </c>
      <c r="G730" s="19">
        <v>30.87</v>
      </c>
      <c r="H730" s="20">
        <v>0.26400000000000001</v>
      </c>
      <c r="I730" s="21">
        <f t="shared" si="155"/>
        <v>39.020000000000003</v>
      </c>
      <c r="J730" s="62">
        <f t="shared" si="156"/>
        <v>175.59</v>
      </c>
    </row>
    <row r="731" spans="1:11" ht="25.5" x14ac:dyDescent="0.2">
      <c r="A731" s="16" t="s">
        <v>903</v>
      </c>
      <c r="B731" s="16" t="s">
        <v>22</v>
      </c>
      <c r="C731" s="16">
        <v>97886</v>
      </c>
      <c r="D731" s="17" t="s">
        <v>1020</v>
      </c>
      <c r="E731" s="16" t="s">
        <v>62</v>
      </c>
      <c r="F731" s="18">
        <v>3</v>
      </c>
      <c r="G731" s="19">
        <v>193.42</v>
      </c>
      <c r="H731" s="20">
        <v>0.26400000000000001</v>
      </c>
      <c r="I731" s="21">
        <f t="shared" si="155"/>
        <v>244.48</v>
      </c>
      <c r="J731" s="62">
        <f t="shared" si="156"/>
        <v>733.44</v>
      </c>
    </row>
    <row r="732" spans="1:11" ht="25.5" x14ac:dyDescent="0.2">
      <c r="A732" s="16" t="s">
        <v>904</v>
      </c>
      <c r="B732" s="16" t="s">
        <v>22</v>
      </c>
      <c r="C732" s="16">
        <v>97887</v>
      </c>
      <c r="D732" s="17" t="s">
        <v>1021</v>
      </c>
      <c r="E732" s="16" t="s">
        <v>62</v>
      </c>
      <c r="F732" s="18">
        <v>3</v>
      </c>
      <c r="G732" s="19">
        <v>305.12</v>
      </c>
      <c r="H732" s="20">
        <v>0.26400000000000001</v>
      </c>
      <c r="I732" s="21">
        <f t="shared" si="155"/>
        <v>385.67</v>
      </c>
      <c r="J732" s="62">
        <f t="shared" si="156"/>
        <v>1157.01</v>
      </c>
    </row>
    <row r="733" spans="1:11" ht="38.25" x14ac:dyDescent="0.2">
      <c r="A733" s="16" t="s">
        <v>905</v>
      </c>
      <c r="B733" s="16" t="s">
        <v>91</v>
      </c>
      <c r="C733" s="16" t="s">
        <v>1023</v>
      </c>
      <c r="D733" s="17" t="s">
        <v>1022</v>
      </c>
      <c r="E733" s="16" t="s">
        <v>62</v>
      </c>
      <c r="F733" s="18">
        <v>1</v>
      </c>
      <c r="G733" s="19">
        <v>643.86</v>
      </c>
      <c r="H733" s="20">
        <v>0.26400000000000001</v>
      </c>
      <c r="I733" s="21">
        <f t="shared" si="155"/>
        <v>813.84</v>
      </c>
      <c r="J733" s="62">
        <f t="shared" si="156"/>
        <v>813.84</v>
      </c>
    </row>
    <row r="734" spans="1:11" x14ac:dyDescent="0.2">
      <c r="A734" s="25"/>
      <c r="B734" s="25"/>
      <c r="C734" s="25"/>
      <c r="D734" s="25" t="s">
        <v>108</v>
      </c>
      <c r="E734" s="25"/>
      <c r="F734" s="25"/>
      <c r="G734" s="25"/>
      <c r="H734" s="25"/>
      <c r="I734" s="25"/>
      <c r="J734" s="61">
        <f>SUM(J726:J733)</f>
        <v>10649.75</v>
      </c>
    </row>
    <row r="735" spans="1:11" s="24" customFormat="1" x14ac:dyDescent="0.2">
      <c r="A735" s="25" t="s">
        <v>906</v>
      </c>
      <c r="B735" s="25"/>
      <c r="C735" s="25"/>
      <c r="D735" s="26" t="s">
        <v>1116</v>
      </c>
      <c r="E735" s="25"/>
      <c r="F735" s="27"/>
      <c r="G735" s="28"/>
      <c r="H735" s="25"/>
      <c r="I735" s="25"/>
      <c r="J735" s="61"/>
      <c r="K735" s="23"/>
    </row>
    <row r="736" spans="1:11" ht="25.5" x14ac:dyDescent="0.2">
      <c r="A736" s="16" t="s">
        <v>907</v>
      </c>
      <c r="B736" s="16" t="s">
        <v>91</v>
      </c>
      <c r="C736" s="16" t="s">
        <v>1024</v>
      </c>
      <c r="D736" s="17" t="s">
        <v>1030</v>
      </c>
      <c r="E736" s="16" t="s">
        <v>62</v>
      </c>
      <c r="F736" s="18">
        <v>2</v>
      </c>
      <c r="G736" s="19">
        <v>1120.5700000000002</v>
      </c>
      <c r="H736" s="20">
        <v>0.26400000000000001</v>
      </c>
      <c r="I736" s="21">
        <f>ROUND((G736*(1+H736)),2)</f>
        <v>1416.4</v>
      </c>
      <c r="J736" s="62">
        <f>ROUND((I736*F736),2)</f>
        <v>2832.8</v>
      </c>
    </row>
    <row r="737" spans="1:11" ht="25.5" x14ac:dyDescent="0.2">
      <c r="A737" s="16" t="s">
        <v>908</v>
      </c>
      <c r="B737" s="16" t="s">
        <v>22</v>
      </c>
      <c r="C737" s="16">
        <v>101879</v>
      </c>
      <c r="D737" s="17" t="s">
        <v>1031</v>
      </c>
      <c r="E737" s="16" t="s">
        <v>62</v>
      </c>
      <c r="F737" s="18">
        <v>2</v>
      </c>
      <c r="G737" s="19">
        <v>622.58000000000004</v>
      </c>
      <c r="H737" s="20">
        <v>0.26400000000000001</v>
      </c>
      <c r="I737" s="21">
        <f>ROUND((G737*(1+H737)),2)</f>
        <v>786.94</v>
      </c>
      <c r="J737" s="62">
        <f>ROUND((I737*F737),2)</f>
        <v>1573.88</v>
      </c>
    </row>
    <row r="738" spans="1:11" x14ac:dyDescent="0.2">
      <c r="A738" s="16" t="s">
        <v>909</v>
      </c>
      <c r="B738" s="16" t="s">
        <v>91</v>
      </c>
      <c r="C738" s="16" t="s">
        <v>1025</v>
      </c>
      <c r="D738" s="17" t="s">
        <v>1032</v>
      </c>
      <c r="E738" s="16" t="s">
        <v>62</v>
      </c>
      <c r="F738" s="18">
        <v>1</v>
      </c>
      <c r="G738" s="19">
        <v>342.37</v>
      </c>
      <c r="H738" s="20">
        <v>0.26400000000000001</v>
      </c>
      <c r="I738" s="21">
        <f>ROUND((G738*(1+H738)),2)</f>
        <v>432.76</v>
      </c>
      <c r="J738" s="62">
        <f>ROUND((I738*F738),2)</f>
        <v>432.76</v>
      </c>
    </row>
    <row r="739" spans="1:11" x14ac:dyDescent="0.2">
      <c r="A739" s="16" t="s">
        <v>910</v>
      </c>
      <c r="B739" s="16" t="s">
        <v>91</v>
      </c>
      <c r="C739" s="16" t="s">
        <v>1026</v>
      </c>
      <c r="D739" s="17" t="s">
        <v>1033</v>
      </c>
      <c r="E739" s="16" t="s">
        <v>62</v>
      </c>
      <c r="F739" s="18">
        <v>1</v>
      </c>
      <c r="G739" s="19">
        <v>337.46999999999997</v>
      </c>
      <c r="H739" s="20">
        <v>0.26400000000000001</v>
      </c>
      <c r="I739" s="21">
        <f>ROUND((G739*(1+H739)),2)</f>
        <v>426.56</v>
      </c>
      <c r="J739" s="62">
        <f>ROUND((I739*F739),2)</f>
        <v>426.56</v>
      </c>
    </row>
    <row r="740" spans="1:11" x14ac:dyDescent="0.2">
      <c r="A740" s="16" t="s">
        <v>911</v>
      </c>
      <c r="B740" s="16" t="s">
        <v>91</v>
      </c>
      <c r="C740" s="16" t="s">
        <v>1027</v>
      </c>
      <c r="D740" s="17" t="s">
        <v>1034</v>
      </c>
      <c r="E740" s="16" t="s">
        <v>62</v>
      </c>
      <c r="F740" s="18">
        <v>2</v>
      </c>
      <c r="G740" s="19">
        <v>190.22</v>
      </c>
      <c r="H740" s="20">
        <v>0.26400000000000001</v>
      </c>
      <c r="I740" s="21">
        <f t="shared" ref="I740:I749" si="157">ROUND((G740*(1+H740)),2)</f>
        <v>240.44</v>
      </c>
      <c r="J740" s="62">
        <f t="shared" ref="J740:J749" si="158">ROUND((I740*F740),2)</f>
        <v>480.88</v>
      </c>
    </row>
    <row r="741" spans="1:11" x14ac:dyDescent="0.2">
      <c r="A741" s="16" t="s">
        <v>912</v>
      </c>
      <c r="B741" s="16" t="s">
        <v>22</v>
      </c>
      <c r="C741" s="16">
        <v>101894</v>
      </c>
      <c r="D741" s="17" t="s">
        <v>1028</v>
      </c>
      <c r="E741" s="16" t="s">
        <v>62</v>
      </c>
      <c r="F741" s="18">
        <v>1</v>
      </c>
      <c r="G741" s="19">
        <v>162.72999999999999</v>
      </c>
      <c r="H741" s="20">
        <v>0.26400000000000001</v>
      </c>
      <c r="I741" s="21">
        <f t="shared" si="157"/>
        <v>205.69</v>
      </c>
      <c r="J741" s="62">
        <f t="shared" si="158"/>
        <v>205.69</v>
      </c>
    </row>
    <row r="742" spans="1:11" x14ac:dyDescent="0.2">
      <c r="A742" s="16" t="s">
        <v>913</v>
      </c>
      <c r="B742" s="16" t="s">
        <v>22</v>
      </c>
      <c r="C742" s="16">
        <v>101894</v>
      </c>
      <c r="D742" s="17" t="s">
        <v>1029</v>
      </c>
      <c r="E742" s="16" t="s">
        <v>62</v>
      </c>
      <c r="F742" s="18">
        <v>2</v>
      </c>
      <c r="G742" s="19">
        <v>162.72999999999999</v>
      </c>
      <c r="H742" s="20">
        <v>0.26400000000000001</v>
      </c>
      <c r="I742" s="21">
        <f>ROUND((G742*(1+H742)),2)</f>
        <v>205.69</v>
      </c>
      <c r="J742" s="62">
        <f>ROUND((I742*F742),2)</f>
        <v>411.38</v>
      </c>
    </row>
    <row r="743" spans="1:11" x14ac:dyDescent="0.2">
      <c r="A743" s="16" t="s">
        <v>914</v>
      </c>
      <c r="B743" s="16" t="s">
        <v>22</v>
      </c>
      <c r="C743" s="16">
        <v>93673</v>
      </c>
      <c r="D743" s="17" t="s">
        <v>1035</v>
      </c>
      <c r="E743" s="16" t="s">
        <v>62</v>
      </c>
      <c r="F743" s="18">
        <v>4</v>
      </c>
      <c r="G743" s="19">
        <v>102.44</v>
      </c>
      <c r="H743" s="20">
        <v>0.26400000000000001</v>
      </c>
      <c r="I743" s="21">
        <f>ROUND((G743*(1+H743)),2)</f>
        <v>129.47999999999999</v>
      </c>
      <c r="J743" s="62">
        <f>ROUND((I743*F743),2)</f>
        <v>517.91999999999996</v>
      </c>
    </row>
    <row r="744" spans="1:11" x14ac:dyDescent="0.2">
      <c r="A744" s="16" t="s">
        <v>915</v>
      </c>
      <c r="B744" s="16" t="s">
        <v>22</v>
      </c>
      <c r="C744" s="16">
        <v>93670</v>
      </c>
      <c r="D744" s="17" t="s">
        <v>1036</v>
      </c>
      <c r="E744" s="16" t="s">
        <v>62</v>
      </c>
      <c r="F744" s="18">
        <v>1</v>
      </c>
      <c r="G744" s="19">
        <v>76.56</v>
      </c>
      <c r="H744" s="20">
        <v>0.26400000000000001</v>
      </c>
      <c r="I744" s="21">
        <f>ROUND((G744*(1+H744)),2)</f>
        <v>96.77</v>
      </c>
      <c r="J744" s="62">
        <f>ROUND((I744*F744),2)</f>
        <v>96.77</v>
      </c>
    </row>
    <row r="745" spans="1:11" x14ac:dyDescent="0.2">
      <c r="A745" s="16" t="s">
        <v>916</v>
      </c>
      <c r="B745" s="16" t="s">
        <v>22</v>
      </c>
      <c r="C745" s="16">
        <v>93657</v>
      </c>
      <c r="D745" s="17" t="s">
        <v>1037</v>
      </c>
      <c r="E745" s="16" t="s">
        <v>62</v>
      </c>
      <c r="F745" s="18">
        <v>12</v>
      </c>
      <c r="G745" s="19">
        <v>16.09</v>
      </c>
      <c r="H745" s="20">
        <v>0.26400000000000001</v>
      </c>
      <c r="I745" s="21">
        <f>ROUND((G745*(1+H745)),2)</f>
        <v>20.34</v>
      </c>
      <c r="J745" s="62">
        <f>ROUND((I745*F745),2)</f>
        <v>244.08</v>
      </c>
    </row>
    <row r="746" spans="1:11" x14ac:dyDescent="0.2">
      <c r="A746" s="16" t="s">
        <v>917</v>
      </c>
      <c r="B746" s="16" t="s">
        <v>22</v>
      </c>
      <c r="C746" s="16">
        <v>93656</v>
      </c>
      <c r="D746" s="17" t="s">
        <v>1038</v>
      </c>
      <c r="E746" s="16" t="s">
        <v>62</v>
      </c>
      <c r="F746" s="18">
        <v>4</v>
      </c>
      <c r="G746" s="19">
        <v>14.17</v>
      </c>
      <c r="H746" s="20">
        <v>0.26400000000000001</v>
      </c>
      <c r="I746" s="21">
        <f t="shared" ref="I746:I748" si="159">ROUND((G746*(1+H746)),2)</f>
        <v>17.91</v>
      </c>
      <c r="J746" s="62">
        <f t="shared" ref="J746:J748" si="160">ROUND((I746*F746),2)</f>
        <v>71.64</v>
      </c>
    </row>
    <row r="747" spans="1:11" x14ac:dyDescent="0.2">
      <c r="A747" s="16" t="s">
        <v>918</v>
      </c>
      <c r="B747" s="16" t="s">
        <v>22</v>
      </c>
      <c r="C747" s="16">
        <v>93655</v>
      </c>
      <c r="D747" s="17" t="s">
        <v>1039</v>
      </c>
      <c r="E747" s="16" t="s">
        <v>62</v>
      </c>
      <c r="F747" s="18">
        <v>30</v>
      </c>
      <c r="G747" s="19">
        <v>12.95</v>
      </c>
      <c r="H747" s="20">
        <v>0.26400000000000001</v>
      </c>
      <c r="I747" s="21">
        <f t="shared" si="159"/>
        <v>16.37</v>
      </c>
      <c r="J747" s="62">
        <f t="shared" si="160"/>
        <v>491.1</v>
      </c>
    </row>
    <row r="748" spans="1:11" x14ac:dyDescent="0.2">
      <c r="A748" s="16" t="s">
        <v>919</v>
      </c>
      <c r="B748" s="16" t="s">
        <v>22</v>
      </c>
      <c r="C748" s="16">
        <v>93654</v>
      </c>
      <c r="D748" s="17" t="s">
        <v>1040</v>
      </c>
      <c r="E748" s="16" t="s">
        <v>62</v>
      </c>
      <c r="F748" s="18">
        <v>6</v>
      </c>
      <c r="G748" s="19">
        <v>11.87</v>
      </c>
      <c r="H748" s="20">
        <v>0.26400000000000001</v>
      </c>
      <c r="I748" s="21">
        <f t="shared" si="159"/>
        <v>15</v>
      </c>
      <c r="J748" s="62">
        <f t="shared" si="160"/>
        <v>90</v>
      </c>
    </row>
    <row r="749" spans="1:11" x14ac:dyDescent="0.2">
      <c r="A749" s="16" t="s">
        <v>920</v>
      </c>
      <c r="B749" s="16" t="s">
        <v>22</v>
      </c>
      <c r="C749" s="16">
        <v>93653</v>
      </c>
      <c r="D749" s="17" t="s">
        <v>1041</v>
      </c>
      <c r="E749" s="16" t="s">
        <v>62</v>
      </c>
      <c r="F749" s="18">
        <v>12</v>
      </c>
      <c r="G749" s="19">
        <v>11.87</v>
      </c>
      <c r="H749" s="20">
        <v>0.26400000000000001</v>
      </c>
      <c r="I749" s="21">
        <f t="shared" si="157"/>
        <v>15</v>
      </c>
      <c r="J749" s="62">
        <f t="shared" si="158"/>
        <v>180</v>
      </c>
    </row>
    <row r="750" spans="1:11" x14ac:dyDescent="0.2">
      <c r="A750" s="25"/>
      <c r="B750" s="25"/>
      <c r="C750" s="25"/>
      <c r="D750" s="25" t="s">
        <v>108</v>
      </c>
      <c r="E750" s="25"/>
      <c r="F750" s="25"/>
      <c r="G750" s="25"/>
      <c r="H750" s="25"/>
      <c r="I750" s="25"/>
      <c r="J750" s="61">
        <f>SUM(J736:J749)</f>
        <v>8055.4600000000019</v>
      </c>
    </row>
    <row r="751" spans="1:11" s="24" customFormat="1" x14ac:dyDescent="0.2">
      <c r="A751" s="25" t="s">
        <v>921</v>
      </c>
      <c r="B751" s="25"/>
      <c r="C751" s="25"/>
      <c r="D751" s="26" t="s">
        <v>1115</v>
      </c>
      <c r="E751" s="25"/>
      <c r="F751" s="27"/>
      <c r="G751" s="28"/>
      <c r="H751" s="25"/>
      <c r="I751" s="25"/>
      <c r="J751" s="61"/>
      <c r="K751" s="23"/>
    </row>
    <row r="752" spans="1:11" ht="25.5" x14ac:dyDescent="0.2">
      <c r="A752" s="16" t="s">
        <v>922</v>
      </c>
      <c r="B752" s="16" t="s">
        <v>91</v>
      </c>
      <c r="C752" s="16" t="s">
        <v>1055</v>
      </c>
      <c r="D752" s="17" t="s">
        <v>1043</v>
      </c>
      <c r="E752" s="16" t="s">
        <v>38</v>
      </c>
      <c r="F752" s="18">
        <v>165</v>
      </c>
      <c r="G752" s="19">
        <v>40.770000000000003</v>
      </c>
      <c r="H752" s="20">
        <v>0.26400000000000001</v>
      </c>
      <c r="I752" s="21">
        <f>ROUND((G752*(1+H752)),2)</f>
        <v>51.53</v>
      </c>
      <c r="J752" s="62">
        <f>ROUND((I752*F752),2)</f>
        <v>8502.4500000000007</v>
      </c>
    </row>
    <row r="753" spans="1:11" ht="25.5" x14ac:dyDescent="0.2">
      <c r="A753" s="16" t="s">
        <v>923</v>
      </c>
      <c r="B753" s="16" t="s">
        <v>91</v>
      </c>
      <c r="C753" s="16" t="s">
        <v>1056</v>
      </c>
      <c r="D753" s="17" t="s">
        <v>1044</v>
      </c>
      <c r="E753" s="16" t="s">
        <v>62</v>
      </c>
      <c r="F753" s="18">
        <v>2</v>
      </c>
      <c r="G753" s="19">
        <v>33.64</v>
      </c>
      <c r="H753" s="20">
        <v>0.26400000000000001</v>
      </c>
      <c r="I753" s="21">
        <f>ROUND((G753*(1+H753)),2)</f>
        <v>42.52</v>
      </c>
      <c r="J753" s="62">
        <f>ROUND((I753*F753),2)</f>
        <v>85.04</v>
      </c>
    </row>
    <row r="754" spans="1:11" ht="25.5" x14ac:dyDescent="0.2">
      <c r="A754" s="16" t="s">
        <v>924</v>
      </c>
      <c r="B754" s="16" t="s">
        <v>91</v>
      </c>
      <c r="C754" s="16" t="s">
        <v>1057</v>
      </c>
      <c r="D754" s="17" t="s">
        <v>1045</v>
      </c>
      <c r="E754" s="16" t="s">
        <v>62</v>
      </c>
      <c r="F754" s="18">
        <v>4</v>
      </c>
      <c r="G754" s="19">
        <v>39.74</v>
      </c>
      <c r="H754" s="20">
        <v>0.26400000000000001</v>
      </c>
      <c r="I754" s="21">
        <f>ROUND((G754*(1+H754)),2)</f>
        <v>50.23</v>
      </c>
      <c r="J754" s="62">
        <f>ROUND((I754*F754),2)</f>
        <v>200.92</v>
      </c>
    </row>
    <row r="755" spans="1:11" ht="25.5" x14ac:dyDescent="0.2">
      <c r="A755" s="16" t="s">
        <v>925</v>
      </c>
      <c r="B755" s="16" t="s">
        <v>91</v>
      </c>
      <c r="C755" s="16" t="s">
        <v>1058</v>
      </c>
      <c r="D755" s="17" t="s">
        <v>1046</v>
      </c>
      <c r="E755" s="16" t="s">
        <v>38</v>
      </c>
      <c r="F755" s="18">
        <v>170</v>
      </c>
      <c r="G755" s="19">
        <v>22.889999999999997</v>
      </c>
      <c r="H755" s="20">
        <v>0.26400000000000001</v>
      </c>
      <c r="I755" s="21">
        <f>ROUND((G755*(1+H755)),2)</f>
        <v>28.93</v>
      </c>
      <c r="J755" s="62">
        <f>ROUND((I755*F755),2)</f>
        <v>4918.1000000000004</v>
      </c>
    </row>
    <row r="756" spans="1:11" ht="25.5" x14ac:dyDescent="0.2">
      <c r="A756" s="16" t="s">
        <v>926</v>
      </c>
      <c r="B756" s="16" t="s">
        <v>91</v>
      </c>
      <c r="C756" s="16" t="s">
        <v>1059</v>
      </c>
      <c r="D756" s="17" t="s">
        <v>1047</v>
      </c>
      <c r="E756" s="16" t="s">
        <v>62</v>
      </c>
      <c r="F756" s="18">
        <v>38</v>
      </c>
      <c r="G756" s="19">
        <v>7.1499999999999995</v>
      </c>
      <c r="H756" s="20">
        <v>0.26400000000000001</v>
      </c>
      <c r="I756" s="21">
        <f t="shared" ref="I756:I757" si="161">ROUND((G756*(1+H756)),2)</f>
        <v>9.0399999999999991</v>
      </c>
      <c r="J756" s="62">
        <f t="shared" ref="J756:J757" si="162">ROUND((I756*F756),2)</f>
        <v>343.52</v>
      </c>
    </row>
    <row r="757" spans="1:11" ht="25.5" x14ac:dyDescent="0.2">
      <c r="A757" s="16" t="s">
        <v>927</v>
      </c>
      <c r="B757" s="16" t="s">
        <v>22</v>
      </c>
      <c r="C757" s="16">
        <v>91854</v>
      </c>
      <c r="D757" s="17" t="s">
        <v>1048</v>
      </c>
      <c r="E757" s="16" t="s">
        <v>38</v>
      </c>
      <c r="F757" s="18">
        <v>1335</v>
      </c>
      <c r="G757" s="19">
        <v>12.17</v>
      </c>
      <c r="H757" s="20">
        <v>0.26400000000000001</v>
      </c>
      <c r="I757" s="21">
        <f t="shared" si="161"/>
        <v>15.38</v>
      </c>
      <c r="J757" s="62">
        <f t="shared" si="162"/>
        <v>20532.3</v>
      </c>
    </row>
    <row r="758" spans="1:11" ht="25.5" x14ac:dyDescent="0.2">
      <c r="A758" s="16" t="s">
        <v>928</v>
      </c>
      <c r="B758" s="16" t="s">
        <v>22</v>
      </c>
      <c r="C758" s="16">
        <v>97667</v>
      </c>
      <c r="D758" s="17" t="s">
        <v>1049</v>
      </c>
      <c r="E758" s="16" t="s">
        <v>38</v>
      </c>
      <c r="F758" s="18">
        <v>70</v>
      </c>
      <c r="G758" s="19">
        <v>8.74</v>
      </c>
      <c r="H758" s="20">
        <v>0.26400000000000001</v>
      </c>
      <c r="I758" s="21">
        <f>ROUND((G758*(1+H758)),2)</f>
        <v>11.05</v>
      </c>
      <c r="J758" s="62">
        <f>ROUND((I758*F758),2)</f>
        <v>773.5</v>
      </c>
    </row>
    <row r="759" spans="1:11" x14ac:dyDescent="0.2">
      <c r="A759" s="16" t="s">
        <v>929</v>
      </c>
      <c r="B759" s="16" t="s">
        <v>22</v>
      </c>
      <c r="C759" s="16">
        <v>95727</v>
      </c>
      <c r="D759" s="17" t="s">
        <v>1050</v>
      </c>
      <c r="E759" s="16" t="s">
        <v>38</v>
      </c>
      <c r="F759" s="18">
        <v>30</v>
      </c>
      <c r="G759" s="19">
        <v>18.59</v>
      </c>
      <c r="H759" s="20">
        <v>0.26400000000000001</v>
      </c>
      <c r="I759" s="21">
        <f>ROUND((G759*(1+H759)),2)</f>
        <v>23.5</v>
      </c>
      <c r="J759" s="62">
        <f>ROUND((I759*F759),2)</f>
        <v>705</v>
      </c>
    </row>
    <row r="760" spans="1:11" x14ac:dyDescent="0.2">
      <c r="A760" s="16" t="s">
        <v>930</v>
      </c>
      <c r="B760" s="16" t="s">
        <v>22</v>
      </c>
      <c r="C760" s="16">
        <v>91941</v>
      </c>
      <c r="D760" s="17" t="s">
        <v>1042</v>
      </c>
      <c r="E760" s="16" t="s">
        <v>62</v>
      </c>
      <c r="F760" s="18">
        <v>213</v>
      </c>
      <c r="G760" s="19">
        <v>14.32</v>
      </c>
      <c r="H760" s="20">
        <v>0.26400000000000001</v>
      </c>
      <c r="I760" s="21">
        <f>ROUND((G760*(1+H760)),2)</f>
        <v>18.100000000000001</v>
      </c>
      <c r="J760" s="62">
        <f>ROUND((I760*F760),2)</f>
        <v>3855.3</v>
      </c>
    </row>
    <row r="761" spans="1:11" x14ac:dyDescent="0.2">
      <c r="A761" s="16" t="s">
        <v>931</v>
      </c>
      <c r="B761" s="16" t="s">
        <v>22</v>
      </c>
      <c r="C761" s="16">
        <v>91937</v>
      </c>
      <c r="D761" s="17" t="s">
        <v>1051</v>
      </c>
      <c r="E761" s="16" t="s">
        <v>62</v>
      </c>
      <c r="F761" s="18">
        <v>160</v>
      </c>
      <c r="G761" s="19">
        <v>19.260000000000002</v>
      </c>
      <c r="H761" s="20">
        <v>0.26400000000000001</v>
      </c>
      <c r="I761" s="21">
        <f>ROUND((G761*(1+H761)),2)</f>
        <v>24.34</v>
      </c>
      <c r="J761" s="62">
        <f>ROUND((I761*F761),2)</f>
        <v>3894.4</v>
      </c>
    </row>
    <row r="762" spans="1:11" ht="25.5" x14ac:dyDescent="0.2">
      <c r="A762" s="16" t="s">
        <v>932</v>
      </c>
      <c r="B762" s="16" t="s">
        <v>22</v>
      </c>
      <c r="C762" s="16">
        <v>104396</v>
      </c>
      <c r="D762" s="17" t="s">
        <v>1052</v>
      </c>
      <c r="E762" s="16" t="s">
        <v>62</v>
      </c>
      <c r="F762" s="18">
        <v>17</v>
      </c>
      <c r="G762" s="19">
        <v>20.46</v>
      </c>
      <c r="H762" s="20">
        <v>0.26400000000000001</v>
      </c>
      <c r="I762" s="21">
        <f t="shared" ref="I762:I764" si="163">ROUND((G762*(1+H762)),2)</f>
        <v>25.86</v>
      </c>
      <c r="J762" s="62">
        <f t="shared" ref="J762:J764" si="164">ROUND((I762*F762),2)</f>
        <v>439.62</v>
      </c>
    </row>
    <row r="763" spans="1:11" ht="25.5" x14ac:dyDescent="0.2">
      <c r="A763" s="16" t="s">
        <v>933</v>
      </c>
      <c r="B763" s="16" t="s">
        <v>22</v>
      </c>
      <c r="C763" s="16">
        <v>95778</v>
      </c>
      <c r="D763" s="17" t="s">
        <v>1053</v>
      </c>
      <c r="E763" s="16" t="s">
        <v>62</v>
      </c>
      <c r="F763" s="18">
        <v>16</v>
      </c>
      <c r="G763" s="19">
        <v>32.79</v>
      </c>
      <c r="H763" s="20">
        <v>0.26400000000000001</v>
      </c>
      <c r="I763" s="21">
        <f t="shared" si="163"/>
        <v>41.45</v>
      </c>
      <c r="J763" s="62">
        <f t="shared" si="164"/>
        <v>663.2</v>
      </c>
    </row>
    <row r="764" spans="1:11" ht="25.5" x14ac:dyDescent="0.2">
      <c r="A764" s="16" t="s">
        <v>934</v>
      </c>
      <c r="B764" s="16" t="s">
        <v>22</v>
      </c>
      <c r="C764" s="16">
        <v>95779</v>
      </c>
      <c r="D764" s="17" t="s">
        <v>1054</v>
      </c>
      <c r="E764" s="16" t="s">
        <v>62</v>
      </c>
      <c r="F764" s="18">
        <v>6</v>
      </c>
      <c r="G764" s="19">
        <v>26.08</v>
      </c>
      <c r="H764" s="20">
        <v>0.26400000000000001</v>
      </c>
      <c r="I764" s="21">
        <f t="shared" si="163"/>
        <v>32.97</v>
      </c>
      <c r="J764" s="62">
        <f t="shared" si="164"/>
        <v>197.82</v>
      </c>
    </row>
    <row r="765" spans="1:11" x14ac:dyDescent="0.2">
      <c r="A765" s="25"/>
      <c r="B765" s="25"/>
      <c r="C765" s="25"/>
      <c r="D765" s="25" t="s">
        <v>108</v>
      </c>
      <c r="E765" s="25"/>
      <c r="F765" s="25"/>
      <c r="G765" s="25"/>
      <c r="H765" s="25"/>
      <c r="I765" s="25"/>
      <c r="J765" s="61">
        <f>SUM(J752:J764)</f>
        <v>45111.170000000006</v>
      </c>
    </row>
    <row r="766" spans="1:11" s="24" customFormat="1" x14ac:dyDescent="0.2">
      <c r="A766" s="25" t="s">
        <v>935</v>
      </c>
      <c r="B766" s="25"/>
      <c r="C766" s="25"/>
      <c r="D766" s="26" t="s">
        <v>1114</v>
      </c>
      <c r="E766" s="25"/>
      <c r="F766" s="27"/>
      <c r="G766" s="28"/>
      <c r="H766" s="25"/>
      <c r="I766" s="25"/>
      <c r="J766" s="61"/>
      <c r="K766" s="23"/>
    </row>
    <row r="767" spans="1:11" x14ac:dyDescent="0.2">
      <c r="A767" s="16" t="s">
        <v>936</v>
      </c>
      <c r="B767" s="16" t="s">
        <v>22</v>
      </c>
      <c r="C767" s="16">
        <v>91953</v>
      </c>
      <c r="D767" s="17" t="s">
        <v>1061</v>
      </c>
      <c r="E767" s="16" t="s">
        <v>62</v>
      </c>
      <c r="F767" s="18">
        <v>13</v>
      </c>
      <c r="G767" s="19">
        <v>38.340000000000003</v>
      </c>
      <c r="H767" s="20">
        <v>0.26400000000000001</v>
      </c>
      <c r="I767" s="21">
        <f>ROUND((G767*(1+H767)),2)</f>
        <v>48.46</v>
      </c>
      <c r="J767" s="62">
        <f>ROUND((I767*F767),2)</f>
        <v>629.98</v>
      </c>
    </row>
    <row r="768" spans="1:11" x14ac:dyDescent="0.2">
      <c r="A768" s="16" t="s">
        <v>937</v>
      </c>
      <c r="B768" s="16" t="s">
        <v>22</v>
      </c>
      <c r="C768" s="16">
        <v>91959</v>
      </c>
      <c r="D768" s="17" t="s">
        <v>1062</v>
      </c>
      <c r="E768" s="16" t="s">
        <v>62</v>
      </c>
      <c r="F768" s="18">
        <v>5</v>
      </c>
      <c r="G768" s="19">
        <v>58.19</v>
      </c>
      <c r="H768" s="20">
        <v>0.26400000000000001</v>
      </c>
      <c r="I768" s="21">
        <f>ROUND((G768*(1+H768)),2)</f>
        <v>73.55</v>
      </c>
      <c r="J768" s="62">
        <f>ROUND((I768*F768),2)</f>
        <v>367.75</v>
      </c>
    </row>
    <row r="769" spans="1:11" ht="25.5" x14ac:dyDescent="0.2">
      <c r="A769" s="16" t="s">
        <v>938</v>
      </c>
      <c r="B769" s="16" t="s">
        <v>22</v>
      </c>
      <c r="C769" s="16">
        <v>92023</v>
      </c>
      <c r="D769" s="17" t="s">
        <v>1063</v>
      </c>
      <c r="E769" s="16" t="s">
        <v>62</v>
      </c>
      <c r="F769" s="18">
        <v>12</v>
      </c>
      <c r="G769" s="19">
        <v>65.23</v>
      </c>
      <c r="H769" s="20">
        <v>0.26400000000000001</v>
      </c>
      <c r="I769" s="21">
        <f>ROUND((G769*(1+H769)),2)</f>
        <v>82.45</v>
      </c>
      <c r="J769" s="62">
        <f>ROUND((I769*F769),2)</f>
        <v>989.4</v>
      </c>
    </row>
    <row r="770" spans="1:11" x14ac:dyDescent="0.2">
      <c r="A770" s="16" t="s">
        <v>939</v>
      </c>
      <c r="B770" s="16" t="s">
        <v>22</v>
      </c>
      <c r="C770" s="16">
        <v>91955</v>
      </c>
      <c r="D770" s="17" t="s">
        <v>1064</v>
      </c>
      <c r="E770" s="16" t="s">
        <v>62</v>
      </c>
      <c r="F770" s="18">
        <v>2</v>
      </c>
      <c r="G770" s="19">
        <v>46.72</v>
      </c>
      <c r="H770" s="20">
        <v>0.26400000000000001</v>
      </c>
      <c r="I770" s="21">
        <f>ROUND((G770*(1+H770)),2)</f>
        <v>59.05</v>
      </c>
      <c r="J770" s="62">
        <f>ROUND((I770*F770),2)</f>
        <v>118.1</v>
      </c>
    </row>
    <row r="771" spans="1:11" x14ac:dyDescent="0.2">
      <c r="A771" s="16" t="s">
        <v>940</v>
      </c>
      <c r="B771" s="16" t="s">
        <v>22</v>
      </c>
      <c r="C771" s="16">
        <v>97597</v>
      </c>
      <c r="D771" s="17" t="s">
        <v>1065</v>
      </c>
      <c r="E771" s="16" t="s">
        <v>62</v>
      </c>
      <c r="F771" s="18">
        <v>14</v>
      </c>
      <c r="G771" s="19">
        <v>69.069999999999993</v>
      </c>
      <c r="H771" s="20">
        <v>0.26400000000000001</v>
      </c>
      <c r="I771" s="21">
        <f t="shared" ref="I771:I772" si="165">ROUND((G771*(1+H771)),2)</f>
        <v>87.3</v>
      </c>
      <c r="J771" s="62">
        <f t="shared" ref="J771:J772" si="166">ROUND((I771*F771),2)</f>
        <v>1222.2</v>
      </c>
    </row>
    <row r="772" spans="1:11" x14ac:dyDescent="0.2">
      <c r="A772" s="16" t="s">
        <v>941</v>
      </c>
      <c r="B772" s="16" t="s">
        <v>91</v>
      </c>
      <c r="C772" s="16" t="s">
        <v>1070</v>
      </c>
      <c r="D772" s="17" t="s">
        <v>1066</v>
      </c>
      <c r="E772" s="16" t="s">
        <v>62</v>
      </c>
      <c r="F772" s="18">
        <v>4</v>
      </c>
      <c r="G772" s="19">
        <v>56.63</v>
      </c>
      <c r="H772" s="20">
        <v>0.26400000000000001</v>
      </c>
      <c r="I772" s="21">
        <f t="shared" si="165"/>
        <v>71.58</v>
      </c>
      <c r="J772" s="62">
        <f t="shared" si="166"/>
        <v>286.32</v>
      </c>
    </row>
    <row r="773" spans="1:11" ht="25.5" x14ac:dyDescent="0.2">
      <c r="A773" s="16" t="s">
        <v>942</v>
      </c>
      <c r="B773" s="16" t="s">
        <v>91</v>
      </c>
      <c r="C773" s="16" t="s">
        <v>1071</v>
      </c>
      <c r="D773" s="17" t="s">
        <v>1067</v>
      </c>
      <c r="E773" s="16" t="s">
        <v>62</v>
      </c>
      <c r="F773" s="18">
        <v>22</v>
      </c>
      <c r="G773" s="19">
        <v>18.670000000000002</v>
      </c>
      <c r="H773" s="20">
        <v>0.26400000000000001</v>
      </c>
      <c r="I773" s="21">
        <f>ROUND((G773*(1+H773)),2)</f>
        <v>23.6</v>
      </c>
      <c r="J773" s="62">
        <f>ROUND((I773*F773),2)</f>
        <v>519.20000000000005</v>
      </c>
    </row>
    <row r="774" spans="1:11" x14ac:dyDescent="0.2">
      <c r="A774" s="16" t="s">
        <v>943</v>
      </c>
      <c r="B774" s="16" t="s">
        <v>22</v>
      </c>
      <c r="C774" s="16">
        <v>92001</v>
      </c>
      <c r="D774" s="17" t="s">
        <v>1060</v>
      </c>
      <c r="E774" s="16" t="s">
        <v>62</v>
      </c>
      <c r="F774" s="18">
        <v>111</v>
      </c>
      <c r="G774" s="19">
        <v>42.59</v>
      </c>
      <c r="H774" s="20">
        <v>0.26400000000000001</v>
      </c>
      <c r="I774" s="21">
        <f>ROUND((G774*(1+H774)),2)</f>
        <v>53.83</v>
      </c>
      <c r="J774" s="62">
        <f>ROUND((I774*F774),2)</f>
        <v>5975.13</v>
      </c>
    </row>
    <row r="775" spans="1:11" x14ac:dyDescent="0.2">
      <c r="A775" s="16" t="s">
        <v>944</v>
      </c>
      <c r="B775" s="16" t="s">
        <v>91</v>
      </c>
      <c r="C775" s="16" t="s">
        <v>1072</v>
      </c>
      <c r="D775" s="17" t="s">
        <v>1068</v>
      </c>
      <c r="E775" s="16" t="s">
        <v>62</v>
      </c>
      <c r="F775" s="18">
        <v>42</v>
      </c>
      <c r="G775" s="19">
        <v>4.16</v>
      </c>
      <c r="H775" s="20">
        <v>0.26400000000000001</v>
      </c>
      <c r="I775" s="21">
        <f>ROUND((G775*(1+H775)),2)</f>
        <v>5.26</v>
      </c>
      <c r="J775" s="62">
        <f>ROUND((I775*F775),2)</f>
        <v>220.92</v>
      </c>
    </row>
    <row r="776" spans="1:11" x14ac:dyDescent="0.2">
      <c r="A776" s="16" t="s">
        <v>945</v>
      </c>
      <c r="B776" s="16" t="s">
        <v>91</v>
      </c>
      <c r="C776" s="16" t="s">
        <v>1073</v>
      </c>
      <c r="D776" s="17" t="s">
        <v>1069</v>
      </c>
      <c r="E776" s="16" t="s">
        <v>62</v>
      </c>
      <c r="F776" s="18">
        <v>11</v>
      </c>
      <c r="G776" s="19">
        <v>302.24</v>
      </c>
      <c r="H776" s="20">
        <v>0.26400000000000001</v>
      </c>
      <c r="I776" s="21">
        <f>ROUND((G776*(1+H776)),2)</f>
        <v>382.03</v>
      </c>
      <c r="J776" s="62">
        <f>ROUND((I776*F776),2)</f>
        <v>4202.33</v>
      </c>
    </row>
    <row r="777" spans="1:11" x14ac:dyDescent="0.2">
      <c r="A777" s="25"/>
      <c r="B777" s="25"/>
      <c r="C777" s="25"/>
      <c r="D777" s="25" t="s">
        <v>108</v>
      </c>
      <c r="E777" s="25"/>
      <c r="F777" s="25"/>
      <c r="G777" s="25"/>
      <c r="H777" s="25"/>
      <c r="I777" s="25"/>
      <c r="J777" s="61">
        <f>SUM(J767:J776)</f>
        <v>14531.330000000002</v>
      </c>
    </row>
    <row r="778" spans="1:11" s="24" customFormat="1" x14ac:dyDescent="0.2">
      <c r="A778" s="25" t="s">
        <v>946</v>
      </c>
      <c r="B778" s="25"/>
      <c r="C778" s="25"/>
      <c r="D778" s="26" t="s">
        <v>1113</v>
      </c>
      <c r="E778" s="25"/>
      <c r="F778" s="27"/>
      <c r="G778" s="28"/>
      <c r="H778" s="25"/>
      <c r="I778" s="25"/>
      <c r="J778" s="61"/>
      <c r="K778" s="23"/>
    </row>
    <row r="779" spans="1:11" ht="25.5" x14ac:dyDescent="0.2">
      <c r="A779" s="16" t="s">
        <v>947</v>
      </c>
      <c r="B779" s="16" t="s">
        <v>22</v>
      </c>
      <c r="C779" s="16">
        <v>91924</v>
      </c>
      <c r="D779" s="17" t="s">
        <v>1079</v>
      </c>
      <c r="E779" s="16" t="s">
        <v>38</v>
      </c>
      <c r="F779" s="18">
        <v>1750</v>
      </c>
      <c r="G779" s="19">
        <v>3.75</v>
      </c>
      <c r="H779" s="20">
        <v>0.26400000000000001</v>
      </c>
      <c r="I779" s="21">
        <f>ROUND((G779*(1+H779)),2)</f>
        <v>4.74</v>
      </c>
      <c r="J779" s="62">
        <f>ROUND((I779*F779),2)</f>
        <v>8295</v>
      </c>
    </row>
    <row r="780" spans="1:11" ht="25.5" x14ac:dyDescent="0.2">
      <c r="A780" s="16" t="s">
        <v>948</v>
      </c>
      <c r="B780" s="16" t="s">
        <v>22</v>
      </c>
      <c r="C780" s="16">
        <v>91926</v>
      </c>
      <c r="D780" s="17" t="s">
        <v>1080</v>
      </c>
      <c r="E780" s="16" t="s">
        <v>38</v>
      </c>
      <c r="F780" s="18">
        <v>4650</v>
      </c>
      <c r="G780" s="19">
        <v>5.38</v>
      </c>
      <c r="H780" s="20">
        <v>0.26400000000000001</v>
      </c>
      <c r="I780" s="21">
        <f>ROUND((G780*(1+H780)),2)</f>
        <v>6.8</v>
      </c>
      <c r="J780" s="62">
        <f>ROUND((I780*F780),2)</f>
        <v>31620</v>
      </c>
    </row>
    <row r="781" spans="1:11" ht="25.5" x14ac:dyDescent="0.2">
      <c r="A781" s="16" t="s">
        <v>949</v>
      </c>
      <c r="B781" s="16" t="s">
        <v>22</v>
      </c>
      <c r="C781" s="16">
        <v>91928</v>
      </c>
      <c r="D781" s="17" t="s">
        <v>1081</v>
      </c>
      <c r="E781" s="16" t="s">
        <v>38</v>
      </c>
      <c r="F781" s="18">
        <v>1300</v>
      </c>
      <c r="G781" s="19">
        <v>8.24</v>
      </c>
      <c r="H781" s="20">
        <v>0.26400000000000001</v>
      </c>
      <c r="I781" s="21">
        <f>ROUND((G781*(1+H781)),2)</f>
        <v>10.42</v>
      </c>
      <c r="J781" s="62">
        <f>ROUND((I781*F781),2)</f>
        <v>13546</v>
      </c>
    </row>
    <row r="782" spans="1:11" ht="25.5" x14ac:dyDescent="0.2">
      <c r="A782" s="16" t="s">
        <v>950</v>
      </c>
      <c r="B782" s="16" t="s">
        <v>22</v>
      </c>
      <c r="C782" s="16">
        <v>91930</v>
      </c>
      <c r="D782" s="17" t="s">
        <v>1082</v>
      </c>
      <c r="E782" s="16" t="s">
        <v>38</v>
      </c>
      <c r="F782" s="18">
        <v>500</v>
      </c>
      <c r="G782" s="19">
        <v>11.47</v>
      </c>
      <c r="H782" s="20">
        <v>0.26400000000000001</v>
      </c>
      <c r="I782" s="21">
        <f>ROUND((G782*(1+H782)),2)</f>
        <v>14.5</v>
      </c>
      <c r="J782" s="62">
        <f>ROUND((I782*F782),2)</f>
        <v>7250</v>
      </c>
    </row>
    <row r="783" spans="1:11" x14ac:dyDescent="0.2">
      <c r="A783" s="16" t="s">
        <v>951</v>
      </c>
      <c r="B783" s="16" t="s">
        <v>22</v>
      </c>
      <c r="C783" s="16">
        <v>101560</v>
      </c>
      <c r="D783" s="17" t="s">
        <v>1075</v>
      </c>
      <c r="E783" s="16" t="s">
        <v>38</v>
      </c>
      <c r="F783" s="18">
        <v>75</v>
      </c>
      <c r="G783" s="19">
        <v>11.99</v>
      </c>
      <c r="H783" s="20">
        <v>0.26400000000000001</v>
      </c>
      <c r="I783" s="21">
        <f t="shared" ref="I783:I784" si="167">ROUND((G783*(1+H783)),2)</f>
        <v>15.16</v>
      </c>
      <c r="J783" s="62">
        <f t="shared" ref="J783:J784" si="168">ROUND((I783*F783),2)</f>
        <v>1137</v>
      </c>
    </row>
    <row r="784" spans="1:11" x14ac:dyDescent="0.2">
      <c r="A784" s="16" t="s">
        <v>952</v>
      </c>
      <c r="B784" s="16" t="s">
        <v>22</v>
      </c>
      <c r="C784" s="16">
        <v>101561</v>
      </c>
      <c r="D784" s="17" t="s">
        <v>1076</v>
      </c>
      <c r="E784" s="16" t="s">
        <v>38</v>
      </c>
      <c r="F784" s="18">
        <v>270</v>
      </c>
      <c r="G784" s="19">
        <v>19.03</v>
      </c>
      <c r="H784" s="20">
        <v>0.26400000000000001</v>
      </c>
      <c r="I784" s="21">
        <f t="shared" si="167"/>
        <v>24.05</v>
      </c>
      <c r="J784" s="62">
        <f t="shared" si="168"/>
        <v>6493.5</v>
      </c>
    </row>
    <row r="785" spans="1:11" x14ac:dyDescent="0.2">
      <c r="A785" s="16" t="s">
        <v>953</v>
      </c>
      <c r="B785" s="16" t="s">
        <v>22</v>
      </c>
      <c r="C785" s="16">
        <v>101563</v>
      </c>
      <c r="D785" s="17" t="s">
        <v>1077</v>
      </c>
      <c r="E785" s="16" t="s">
        <v>38</v>
      </c>
      <c r="F785" s="18">
        <v>340</v>
      </c>
      <c r="G785" s="19">
        <v>41.56</v>
      </c>
      <c r="H785" s="20">
        <v>0.26400000000000001</v>
      </c>
      <c r="I785" s="21">
        <f>ROUND((G785*(1+H785)),2)</f>
        <v>52.53</v>
      </c>
      <c r="J785" s="62">
        <f>ROUND((I785*F785),2)</f>
        <v>17860.2</v>
      </c>
    </row>
    <row r="786" spans="1:11" ht="25.5" x14ac:dyDescent="0.2">
      <c r="A786" s="16" t="s">
        <v>954</v>
      </c>
      <c r="B786" s="16" t="s">
        <v>91</v>
      </c>
      <c r="C786" s="16" t="s">
        <v>1074</v>
      </c>
      <c r="D786" s="17" t="s">
        <v>1078</v>
      </c>
      <c r="E786" s="16" t="s">
        <v>38</v>
      </c>
      <c r="F786" s="18">
        <v>150</v>
      </c>
      <c r="G786" s="19">
        <v>6.75</v>
      </c>
      <c r="H786" s="20">
        <v>0.26400000000000001</v>
      </c>
      <c r="I786" s="21">
        <f>ROUND((G786*(1+H786)),2)</f>
        <v>8.5299999999999994</v>
      </c>
      <c r="J786" s="62">
        <f>ROUND((I786*F786),2)</f>
        <v>1279.5</v>
      </c>
    </row>
    <row r="787" spans="1:11" x14ac:dyDescent="0.2">
      <c r="A787" s="25"/>
      <c r="B787" s="25"/>
      <c r="C787" s="25"/>
      <c r="D787" s="25" t="s">
        <v>108</v>
      </c>
      <c r="E787" s="25"/>
      <c r="F787" s="25"/>
      <c r="G787" s="25"/>
      <c r="H787" s="25"/>
      <c r="I787" s="25"/>
      <c r="J787" s="61">
        <f>SUM(J779:J786)</f>
        <v>87481.2</v>
      </c>
    </row>
    <row r="788" spans="1:11" s="24" customFormat="1" x14ac:dyDescent="0.2">
      <c r="A788" s="25" t="s">
        <v>955</v>
      </c>
      <c r="B788" s="25"/>
      <c r="C788" s="25"/>
      <c r="D788" s="26" t="s">
        <v>1112</v>
      </c>
      <c r="E788" s="25"/>
      <c r="F788" s="27"/>
      <c r="G788" s="28"/>
      <c r="H788" s="25"/>
      <c r="I788" s="25"/>
      <c r="J788" s="61"/>
      <c r="K788" s="23"/>
    </row>
    <row r="789" spans="1:11" ht="38.25" x14ac:dyDescent="0.2">
      <c r="A789" s="16" t="s">
        <v>956</v>
      </c>
      <c r="B789" s="16" t="s">
        <v>91</v>
      </c>
      <c r="C789" s="16" t="s">
        <v>1089</v>
      </c>
      <c r="D789" s="17" t="s">
        <v>1083</v>
      </c>
      <c r="E789" s="16" t="s">
        <v>62</v>
      </c>
      <c r="F789" s="18">
        <v>22</v>
      </c>
      <c r="G789" s="19">
        <v>1264.0999999999999</v>
      </c>
      <c r="H789" s="20">
        <v>0.26400000000000001</v>
      </c>
      <c r="I789" s="21">
        <f>ROUND((G789*(1+H789)),2)</f>
        <v>1597.82</v>
      </c>
      <c r="J789" s="62">
        <f>ROUND((I789*F789),2)</f>
        <v>35152.04</v>
      </c>
    </row>
    <row r="790" spans="1:11" ht="25.5" x14ac:dyDescent="0.2">
      <c r="A790" s="16" t="s">
        <v>957</v>
      </c>
      <c r="B790" s="16" t="s">
        <v>91</v>
      </c>
      <c r="C790" s="16" t="s">
        <v>1090</v>
      </c>
      <c r="D790" s="17" t="s">
        <v>1084</v>
      </c>
      <c r="E790" s="16" t="s">
        <v>62</v>
      </c>
      <c r="F790" s="18">
        <v>84</v>
      </c>
      <c r="G790" s="19">
        <v>159.54</v>
      </c>
      <c r="H790" s="20">
        <v>0.26400000000000001</v>
      </c>
      <c r="I790" s="21">
        <f>ROUND((G790*(1+H790)),2)</f>
        <v>201.66</v>
      </c>
      <c r="J790" s="62">
        <f>ROUND((I790*F790),2)</f>
        <v>16939.439999999999</v>
      </c>
    </row>
    <row r="791" spans="1:11" ht="25.5" x14ac:dyDescent="0.2">
      <c r="A791" s="16" t="s">
        <v>958</v>
      </c>
      <c r="B791" s="16" t="s">
        <v>91</v>
      </c>
      <c r="C791" s="16" t="s">
        <v>1091</v>
      </c>
      <c r="D791" s="17" t="s">
        <v>1085</v>
      </c>
      <c r="E791" s="16" t="s">
        <v>62</v>
      </c>
      <c r="F791" s="18">
        <v>76</v>
      </c>
      <c r="G791" s="19">
        <v>47.260000000000005</v>
      </c>
      <c r="H791" s="20">
        <v>0.26400000000000001</v>
      </c>
      <c r="I791" s="21">
        <f>ROUND((G791*(1+H791)),2)</f>
        <v>59.74</v>
      </c>
      <c r="J791" s="62">
        <f>ROUND((I791*F791),2)</f>
        <v>4540.24</v>
      </c>
    </row>
    <row r="792" spans="1:11" ht="25.5" x14ac:dyDescent="0.2">
      <c r="A792" s="16" t="s">
        <v>959</v>
      </c>
      <c r="B792" s="16" t="s">
        <v>22</v>
      </c>
      <c r="C792" s="16">
        <v>97605</v>
      </c>
      <c r="D792" s="17" t="s">
        <v>1086</v>
      </c>
      <c r="E792" s="16" t="s">
        <v>62</v>
      </c>
      <c r="F792" s="18">
        <v>18</v>
      </c>
      <c r="G792" s="19">
        <v>78.67</v>
      </c>
      <c r="H792" s="20">
        <v>0.26400000000000001</v>
      </c>
      <c r="I792" s="21">
        <f>ROUND((G792*(1+H792)),2)</f>
        <v>99.44</v>
      </c>
      <c r="J792" s="62">
        <f>ROUND((I792*F792),2)</f>
        <v>1789.92</v>
      </c>
    </row>
    <row r="793" spans="1:11" x14ac:dyDescent="0.2">
      <c r="A793" s="16" t="s">
        <v>960</v>
      </c>
      <c r="B793" s="16" t="s">
        <v>91</v>
      </c>
      <c r="C793" s="16" t="s">
        <v>1092</v>
      </c>
      <c r="D793" s="17" t="s">
        <v>1087</v>
      </c>
      <c r="E793" s="16" t="s">
        <v>62</v>
      </c>
      <c r="F793" s="18">
        <v>36</v>
      </c>
      <c r="G793" s="19">
        <v>39.4</v>
      </c>
      <c r="H793" s="20">
        <v>0.26400000000000001</v>
      </c>
      <c r="I793" s="21">
        <f t="shared" ref="I793:I794" si="169">ROUND((G793*(1+H793)),2)</f>
        <v>49.8</v>
      </c>
      <c r="J793" s="62">
        <f t="shared" ref="J793:J794" si="170">ROUND((I793*F793),2)</f>
        <v>1792.8</v>
      </c>
    </row>
    <row r="794" spans="1:11" x14ac:dyDescent="0.2">
      <c r="A794" s="16" t="s">
        <v>961</v>
      </c>
      <c r="B794" s="16" t="s">
        <v>91</v>
      </c>
      <c r="C794" s="16" t="s">
        <v>1093</v>
      </c>
      <c r="D794" s="17" t="s">
        <v>1088</v>
      </c>
      <c r="E794" s="16" t="s">
        <v>62</v>
      </c>
      <c r="F794" s="18">
        <v>12</v>
      </c>
      <c r="G794" s="19">
        <v>50.030000000000008</v>
      </c>
      <c r="H794" s="20">
        <v>0.26400000000000001</v>
      </c>
      <c r="I794" s="21">
        <f t="shared" si="169"/>
        <v>63.24</v>
      </c>
      <c r="J794" s="62">
        <f t="shared" si="170"/>
        <v>758.88</v>
      </c>
    </row>
    <row r="795" spans="1:11" x14ac:dyDescent="0.2">
      <c r="A795" s="25"/>
      <c r="B795" s="25"/>
      <c r="C795" s="25"/>
      <c r="D795" s="25" t="s">
        <v>108</v>
      </c>
      <c r="E795" s="25"/>
      <c r="F795" s="25"/>
      <c r="G795" s="25"/>
      <c r="H795" s="25"/>
      <c r="I795" s="25"/>
      <c r="J795" s="61">
        <f>SUM(J789:J794)</f>
        <v>60973.319999999992</v>
      </c>
    </row>
    <row r="796" spans="1:11" s="24" customFormat="1" x14ac:dyDescent="0.2">
      <c r="A796" s="25" t="s">
        <v>962</v>
      </c>
      <c r="B796" s="25"/>
      <c r="C796" s="25"/>
      <c r="D796" s="26" t="s">
        <v>1111</v>
      </c>
      <c r="E796" s="25"/>
      <c r="F796" s="27"/>
      <c r="G796" s="28"/>
      <c r="H796" s="25"/>
      <c r="I796" s="25"/>
      <c r="J796" s="61"/>
      <c r="K796" s="23"/>
    </row>
    <row r="797" spans="1:11" x14ac:dyDescent="0.2">
      <c r="A797" s="16" t="s">
        <v>963</v>
      </c>
      <c r="B797" s="16" t="s">
        <v>22</v>
      </c>
      <c r="C797" s="16">
        <v>98297</v>
      </c>
      <c r="D797" s="17" t="s">
        <v>1094</v>
      </c>
      <c r="E797" s="16" t="s">
        <v>38</v>
      </c>
      <c r="F797" s="18">
        <v>360</v>
      </c>
      <c r="G797" s="19">
        <v>10.220000000000001</v>
      </c>
      <c r="H797" s="20">
        <v>0.26400000000000001</v>
      </c>
      <c r="I797" s="21">
        <f>ROUND((G797*(1+H797)),2)</f>
        <v>12.92</v>
      </c>
      <c r="J797" s="62">
        <f>ROUND((I797*F797),2)</f>
        <v>4651.2</v>
      </c>
    </row>
    <row r="798" spans="1:11" x14ac:dyDescent="0.2">
      <c r="A798" s="16" t="s">
        <v>964</v>
      </c>
      <c r="B798" s="16" t="s">
        <v>22</v>
      </c>
      <c r="C798" s="16">
        <v>98307</v>
      </c>
      <c r="D798" s="17" t="s">
        <v>1095</v>
      </c>
      <c r="E798" s="16" t="s">
        <v>62</v>
      </c>
      <c r="F798" s="18">
        <v>7</v>
      </c>
      <c r="G798" s="19">
        <v>68.14</v>
      </c>
      <c r="H798" s="20">
        <v>0.26400000000000001</v>
      </c>
      <c r="I798" s="21">
        <f>ROUND((G798*(1+H798)),2)</f>
        <v>86.13</v>
      </c>
      <c r="J798" s="62">
        <f>ROUND((I798*F798),2)</f>
        <v>602.91</v>
      </c>
    </row>
    <row r="799" spans="1:11" x14ac:dyDescent="0.2">
      <c r="A799" s="16" t="s">
        <v>965</v>
      </c>
      <c r="B799" s="16" t="s">
        <v>22</v>
      </c>
      <c r="C799" s="16">
        <v>91941</v>
      </c>
      <c r="D799" s="17" t="s">
        <v>1096</v>
      </c>
      <c r="E799" s="16" t="s">
        <v>62</v>
      </c>
      <c r="F799" s="18">
        <v>4</v>
      </c>
      <c r="G799" s="19">
        <v>14.32</v>
      </c>
      <c r="H799" s="20">
        <v>0.26400000000000001</v>
      </c>
      <c r="I799" s="21">
        <f>ROUND((G799*(1+H799)),2)</f>
        <v>18.100000000000001</v>
      </c>
      <c r="J799" s="62">
        <f>ROUND((I799*F799),2)</f>
        <v>72.400000000000006</v>
      </c>
    </row>
    <row r="800" spans="1:11" x14ac:dyDescent="0.2">
      <c r="A800" s="16" t="s">
        <v>966</v>
      </c>
      <c r="B800" s="16" t="s">
        <v>22</v>
      </c>
      <c r="C800" s="16">
        <v>91937</v>
      </c>
      <c r="D800" s="17" t="s">
        <v>1051</v>
      </c>
      <c r="E800" s="16" t="s">
        <v>62</v>
      </c>
      <c r="F800" s="18">
        <v>7</v>
      </c>
      <c r="G800" s="19">
        <v>19.260000000000002</v>
      </c>
      <c r="H800" s="20">
        <v>0.26400000000000001</v>
      </c>
      <c r="I800" s="21">
        <f>ROUND((G800*(1+H800)),2)</f>
        <v>24.34</v>
      </c>
      <c r="J800" s="62">
        <f>ROUND((I800*F800),2)</f>
        <v>170.38</v>
      </c>
    </row>
    <row r="801" spans="1:11" x14ac:dyDescent="0.2">
      <c r="A801" s="16" t="s">
        <v>967</v>
      </c>
      <c r="B801" s="16" t="s">
        <v>22</v>
      </c>
      <c r="C801" s="16">
        <v>93358</v>
      </c>
      <c r="D801" s="17" t="s">
        <v>59</v>
      </c>
      <c r="E801" s="16" t="s">
        <v>51</v>
      </c>
      <c r="F801" s="18">
        <v>2.25</v>
      </c>
      <c r="G801" s="19">
        <v>99.25</v>
      </c>
      <c r="H801" s="20">
        <v>0.26400000000000001</v>
      </c>
      <c r="I801" s="21">
        <f t="shared" ref="I801:I802" si="171">ROUND((G801*(1+H801)),2)</f>
        <v>125.45</v>
      </c>
      <c r="J801" s="62">
        <f t="shared" ref="J801:J802" si="172">ROUND((I801*F801),2)</f>
        <v>282.26</v>
      </c>
    </row>
    <row r="802" spans="1:11" x14ac:dyDescent="0.2">
      <c r="A802" s="16" t="s">
        <v>968</v>
      </c>
      <c r="B802" s="16" t="s">
        <v>22</v>
      </c>
      <c r="C802" s="16">
        <v>93382</v>
      </c>
      <c r="D802" s="17" t="s">
        <v>1019</v>
      </c>
      <c r="E802" s="16" t="s">
        <v>51</v>
      </c>
      <c r="F802" s="18">
        <v>2.25</v>
      </c>
      <c r="G802" s="19">
        <v>30.87</v>
      </c>
      <c r="H802" s="20">
        <v>0.26400000000000001</v>
      </c>
      <c r="I802" s="21">
        <f t="shared" si="171"/>
        <v>39.020000000000003</v>
      </c>
      <c r="J802" s="62">
        <f t="shared" si="172"/>
        <v>87.8</v>
      </c>
    </row>
    <row r="803" spans="1:11" ht="25.5" x14ac:dyDescent="0.2">
      <c r="A803" s="16" t="s">
        <v>969</v>
      </c>
      <c r="B803" s="16" t="s">
        <v>22</v>
      </c>
      <c r="C803" s="16">
        <v>97886</v>
      </c>
      <c r="D803" s="17" t="s">
        <v>1020</v>
      </c>
      <c r="E803" s="16" t="s">
        <v>62</v>
      </c>
      <c r="F803" s="18">
        <v>2</v>
      </c>
      <c r="G803" s="19">
        <v>193.42</v>
      </c>
      <c r="H803" s="20">
        <v>0.26400000000000001</v>
      </c>
      <c r="I803" s="21">
        <f>ROUND((G803*(1+H803)),2)</f>
        <v>244.48</v>
      </c>
      <c r="J803" s="62">
        <f>ROUND((I803*F803),2)</f>
        <v>488.96</v>
      </c>
    </row>
    <row r="804" spans="1:11" ht="25.5" x14ac:dyDescent="0.2">
      <c r="A804" s="16" t="s">
        <v>970</v>
      </c>
      <c r="B804" s="16" t="s">
        <v>22</v>
      </c>
      <c r="C804" s="16">
        <v>97668</v>
      </c>
      <c r="D804" s="17" t="s">
        <v>1016</v>
      </c>
      <c r="E804" s="16" t="s">
        <v>38</v>
      </c>
      <c r="F804" s="18">
        <v>15</v>
      </c>
      <c r="G804" s="19">
        <v>12.42</v>
      </c>
      <c r="H804" s="20">
        <v>0.26400000000000001</v>
      </c>
      <c r="I804" s="21">
        <f>ROUND((G804*(1+H804)),2)</f>
        <v>15.7</v>
      </c>
      <c r="J804" s="62">
        <f>ROUND((I804*F804),2)</f>
        <v>235.5</v>
      </c>
    </row>
    <row r="805" spans="1:11" ht="25.5" x14ac:dyDescent="0.2">
      <c r="A805" s="16" t="s">
        <v>971</v>
      </c>
      <c r="B805" s="16" t="s">
        <v>22</v>
      </c>
      <c r="C805" s="16">
        <v>91854</v>
      </c>
      <c r="D805" s="17" t="s">
        <v>1048</v>
      </c>
      <c r="E805" s="16" t="s">
        <v>38</v>
      </c>
      <c r="F805" s="18">
        <v>125</v>
      </c>
      <c r="G805" s="19">
        <v>12.17</v>
      </c>
      <c r="H805" s="20">
        <v>0.26400000000000001</v>
      </c>
      <c r="I805" s="21">
        <f>ROUND((G805*(1+H805)),2)</f>
        <v>15.38</v>
      </c>
      <c r="J805" s="62">
        <f>ROUND((I805*F805),2)</f>
        <v>1922.5</v>
      </c>
    </row>
    <row r="806" spans="1:11" ht="25.5" x14ac:dyDescent="0.2">
      <c r="A806" s="16" t="s">
        <v>972</v>
      </c>
      <c r="B806" s="16" t="s">
        <v>22</v>
      </c>
      <c r="C806" s="16">
        <v>91856</v>
      </c>
      <c r="D806" s="17" t="s">
        <v>1097</v>
      </c>
      <c r="E806" s="16" t="s">
        <v>38</v>
      </c>
      <c r="F806" s="18">
        <v>20</v>
      </c>
      <c r="G806" s="19">
        <v>15.12</v>
      </c>
      <c r="H806" s="20">
        <v>0.26400000000000001</v>
      </c>
      <c r="I806" s="21">
        <f>ROUND((G806*(1+H806)),2)</f>
        <v>19.11</v>
      </c>
      <c r="J806" s="62">
        <f>ROUND((I806*F806),2)</f>
        <v>382.2</v>
      </c>
    </row>
    <row r="807" spans="1:11" x14ac:dyDescent="0.2">
      <c r="A807" s="16" t="s">
        <v>973</v>
      </c>
      <c r="B807" s="16" t="s">
        <v>91</v>
      </c>
      <c r="C807" s="16" t="s">
        <v>1104</v>
      </c>
      <c r="D807" s="17" t="s">
        <v>1098</v>
      </c>
      <c r="E807" s="16" t="s">
        <v>38</v>
      </c>
      <c r="F807" s="18">
        <v>86</v>
      </c>
      <c r="G807" s="19">
        <v>23.22</v>
      </c>
      <c r="H807" s="20">
        <v>0.26400000000000001</v>
      </c>
      <c r="I807" s="21">
        <f t="shared" ref="I807:I812" si="173">ROUND((G807*(1+H807)),2)</f>
        <v>29.35</v>
      </c>
      <c r="J807" s="62">
        <f t="shared" ref="J807:J812" si="174">ROUND((I807*F807),2)</f>
        <v>2524.1</v>
      </c>
    </row>
    <row r="808" spans="1:11" ht="25.5" x14ac:dyDescent="0.2">
      <c r="A808" s="16" t="s">
        <v>974</v>
      </c>
      <c r="B808" s="16" t="s">
        <v>91</v>
      </c>
      <c r="C808" s="16" t="s">
        <v>1105</v>
      </c>
      <c r="D808" s="17" t="s">
        <v>1099</v>
      </c>
      <c r="E808" s="16" t="s">
        <v>62</v>
      </c>
      <c r="F808" s="18">
        <v>1</v>
      </c>
      <c r="G808" s="19">
        <v>392.10999999999996</v>
      </c>
      <c r="H808" s="20">
        <v>0.26400000000000001</v>
      </c>
      <c r="I808" s="21">
        <f t="shared" si="173"/>
        <v>495.63</v>
      </c>
      <c r="J808" s="62">
        <f t="shared" si="174"/>
        <v>495.63</v>
      </c>
    </row>
    <row r="809" spans="1:11" ht="76.5" x14ac:dyDescent="0.2">
      <c r="A809" s="16" t="s">
        <v>975</v>
      </c>
      <c r="B809" s="16" t="s">
        <v>91</v>
      </c>
      <c r="C809" s="16" t="s">
        <v>1106</v>
      </c>
      <c r="D809" s="17" t="s">
        <v>1100</v>
      </c>
      <c r="E809" s="16" t="s">
        <v>62</v>
      </c>
      <c r="F809" s="18">
        <v>2</v>
      </c>
      <c r="G809" s="19">
        <v>1107.8399999999999</v>
      </c>
      <c r="H809" s="20">
        <v>0.26400000000000001</v>
      </c>
      <c r="I809" s="21">
        <f t="shared" ref="I809:I810" si="175">ROUND((G809*(1+H809)),2)</f>
        <v>1400.31</v>
      </c>
      <c r="J809" s="62">
        <f t="shared" ref="J809:J810" si="176">ROUND((I809*F809),2)</f>
        <v>2800.62</v>
      </c>
    </row>
    <row r="810" spans="1:11" x14ac:dyDescent="0.2">
      <c r="A810" s="16" t="s">
        <v>976</v>
      </c>
      <c r="B810" s="16" t="s">
        <v>91</v>
      </c>
      <c r="C810" s="16" t="s">
        <v>1107</v>
      </c>
      <c r="D810" s="17" t="s">
        <v>1101</v>
      </c>
      <c r="E810" s="16" t="s">
        <v>62</v>
      </c>
      <c r="F810" s="18">
        <v>24</v>
      </c>
      <c r="G810" s="19">
        <v>32.47</v>
      </c>
      <c r="H810" s="20">
        <v>0.26400000000000001</v>
      </c>
      <c r="I810" s="21">
        <f t="shared" si="175"/>
        <v>41.04</v>
      </c>
      <c r="J810" s="62">
        <f t="shared" si="176"/>
        <v>984.96</v>
      </c>
    </row>
    <row r="811" spans="1:11" x14ac:dyDescent="0.2">
      <c r="A811" s="16" t="s">
        <v>977</v>
      </c>
      <c r="B811" s="16" t="s">
        <v>91</v>
      </c>
      <c r="C811" s="16" t="s">
        <v>1108</v>
      </c>
      <c r="D811" s="17" t="s">
        <v>1102</v>
      </c>
      <c r="E811" s="16" t="s">
        <v>62</v>
      </c>
      <c r="F811" s="18">
        <v>1</v>
      </c>
      <c r="G811" s="19">
        <v>3708.8300000000004</v>
      </c>
      <c r="H811" s="20">
        <v>0.26400000000000001</v>
      </c>
      <c r="I811" s="21">
        <f t="shared" si="173"/>
        <v>4687.96</v>
      </c>
      <c r="J811" s="62">
        <f t="shared" si="174"/>
        <v>4687.96</v>
      </c>
    </row>
    <row r="812" spans="1:11" x14ac:dyDescent="0.2">
      <c r="A812" s="16" t="s">
        <v>978</v>
      </c>
      <c r="B812" s="16" t="s">
        <v>91</v>
      </c>
      <c r="C812" s="16" t="s">
        <v>1109</v>
      </c>
      <c r="D812" s="17" t="s">
        <v>1103</v>
      </c>
      <c r="E812" s="16" t="s">
        <v>62</v>
      </c>
      <c r="F812" s="18">
        <v>1</v>
      </c>
      <c r="G812" s="19">
        <v>147.32999999999998</v>
      </c>
      <c r="H812" s="20">
        <v>0.26400000000000001</v>
      </c>
      <c r="I812" s="21">
        <f t="shared" si="173"/>
        <v>186.23</v>
      </c>
      <c r="J812" s="62">
        <f t="shared" si="174"/>
        <v>186.23</v>
      </c>
    </row>
    <row r="813" spans="1:11" x14ac:dyDescent="0.2">
      <c r="A813" s="25"/>
      <c r="B813" s="25"/>
      <c r="C813" s="25"/>
      <c r="D813" s="25" t="s">
        <v>108</v>
      </c>
      <c r="E813" s="25"/>
      <c r="F813" s="25"/>
      <c r="G813" s="25"/>
      <c r="H813" s="25"/>
      <c r="I813" s="25"/>
      <c r="J813" s="61">
        <f>SUM(J797:J812)</f>
        <v>20575.609999999997</v>
      </c>
    </row>
    <row r="814" spans="1:11" ht="13.5" customHeight="1" x14ac:dyDescent="0.2">
      <c r="A814" s="144" t="s">
        <v>43</v>
      </c>
      <c r="B814" s="145"/>
      <c r="C814" s="145"/>
      <c r="D814" s="145"/>
      <c r="E814" s="145"/>
      <c r="F814" s="145"/>
      <c r="G814" s="145"/>
      <c r="H814" s="145"/>
      <c r="I814" s="146"/>
      <c r="J814" s="60">
        <f>SUM(J734,J750,J765,J777,J787,J795,J813)</f>
        <v>247377.83999999997</v>
      </c>
    </row>
    <row r="815" spans="1:11" s="24" customFormat="1" x14ac:dyDescent="0.2">
      <c r="A815" s="12">
        <v>19</v>
      </c>
      <c r="B815" s="12"/>
      <c r="C815" s="12"/>
      <c r="D815" s="13" t="s">
        <v>1110</v>
      </c>
      <c r="E815" s="12"/>
      <c r="F815" s="14"/>
      <c r="G815" s="15"/>
      <c r="H815" s="12"/>
      <c r="I815" s="12"/>
      <c r="J815" s="60"/>
      <c r="K815" s="23"/>
    </row>
    <row r="816" spans="1:11" x14ac:dyDescent="0.2">
      <c r="A816" s="16" t="s">
        <v>979</v>
      </c>
      <c r="B816" s="16" t="s">
        <v>91</v>
      </c>
      <c r="C816" s="16" t="s">
        <v>1006</v>
      </c>
      <c r="D816" s="33" t="s">
        <v>992</v>
      </c>
      <c r="E816" s="16" t="s">
        <v>51</v>
      </c>
      <c r="F816" s="18">
        <v>25</v>
      </c>
      <c r="G816" s="19">
        <v>160.00510000000003</v>
      </c>
      <c r="H816" s="20">
        <v>0.26400000000000001</v>
      </c>
      <c r="I816" s="21">
        <f>ROUND((G816*(1+H816)),2)</f>
        <v>202.25</v>
      </c>
      <c r="J816" s="62">
        <f>ROUND((I816*F816),2)</f>
        <v>5056.25</v>
      </c>
    </row>
    <row r="817" spans="1:10" x14ac:dyDescent="0.2">
      <c r="A817" s="16" t="s">
        <v>980</v>
      </c>
      <c r="B817" s="16" t="s">
        <v>91</v>
      </c>
      <c r="C817" s="16" t="s">
        <v>1007</v>
      </c>
      <c r="D817" s="33" t="s">
        <v>993</v>
      </c>
      <c r="E817" s="16" t="s">
        <v>24</v>
      </c>
      <c r="F817" s="18">
        <v>27</v>
      </c>
      <c r="G817" s="19">
        <v>44.393000000000001</v>
      </c>
      <c r="H817" s="20">
        <v>0.26400000000000001</v>
      </c>
      <c r="I817" s="21">
        <f>ROUND((G817*(1+H817)),2)</f>
        <v>56.11</v>
      </c>
      <c r="J817" s="62">
        <f>ROUND((I817*F817),2)</f>
        <v>1514.97</v>
      </c>
    </row>
    <row r="818" spans="1:10" x14ac:dyDescent="0.2">
      <c r="A818" s="16" t="s">
        <v>981</v>
      </c>
      <c r="B818" s="16" t="s">
        <v>91</v>
      </c>
      <c r="C818" s="29" t="s">
        <v>1008</v>
      </c>
      <c r="D818" s="30" t="s">
        <v>994</v>
      </c>
      <c r="E818" s="29" t="s">
        <v>38</v>
      </c>
      <c r="F818" s="31">
        <v>3</v>
      </c>
      <c r="G818" s="19">
        <v>71.363</v>
      </c>
      <c r="H818" s="20">
        <v>0.26400000000000001</v>
      </c>
      <c r="I818" s="21">
        <f t="shared" ref="I818:I828" si="177">ROUND((G818*(1+H818)),2)</f>
        <v>90.2</v>
      </c>
      <c r="J818" s="62">
        <f t="shared" ref="J818:J828" si="178">ROUND((I818*F818),2)</f>
        <v>270.60000000000002</v>
      </c>
    </row>
    <row r="819" spans="1:10" x14ac:dyDescent="0.2">
      <c r="A819" s="16" t="s">
        <v>982</v>
      </c>
      <c r="B819" s="16" t="s">
        <v>91</v>
      </c>
      <c r="C819" s="29" t="s">
        <v>1009</v>
      </c>
      <c r="D819" s="30" t="s">
        <v>995</v>
      </c>
      <c r="E819" s="29" t="s">
        <v>24</v>
      </c>
      <c r="F819" s="31">
        <v>6</v>
      </c>
      <c r="G819" s="19">
        <v>250.8245</v>
      </c>
      <c r="H819" s="20">
        <v>0.26400000000000001</v>
      </c>
      <c r="I819" s="21">
        <f t="shared" si="177"/>
        <v>317.04000000000002</v>
      </c>
      <c r="J819" s="62">
        <f t="shared" si="178"/>
        <v>1902.24</v>
      </c>
    </row>
    <row r="820" spans="1:10" x14ac:dyDescent="0.2">
      <c r="A820" s="16" t="s">
        <v>983</v>
      </c>
      <c r="B820" s="16" t="s">
        <v>91</v>
      </c>
      <c r="C820" s="29" t="s">
        <v>1010</v>
      </c>
      <c r="D820" s="30" t="s">
        <v>996</v>
      </c>
      <c r="E820" s="29" t="s">
        <v>38</v>
      </c>
      <c r="F820" s="31">
        <v>1</v>
      </c>
      <c r="G820" s="19">
        <v>40.841499999999996</v>
      </c>
      <c r="H820" s="20">
        <v>0.26400000000000001</v>
      </c>
      <c r="I820" s="21">
        <f t="shared" si="177"/>
        <v>51.62</v>
      </c>
      <c r="J820" s="62">
        <f t="shared" si="178"/>
        <v>51.62</v>
      </c>
    </row>
    <row r="821" spans="1:10" x14ac:dyDescent="0.2">
      <c r="A821" s="16" t="s">
        <v>984</v>
      </c>
      <c r="B821" s="16" t="s">
        <v>91</v>
      </c>
      <c r="C821" s="29" t="s">
        <v>1011</v>
      </c>
      <c r="D821" s="30" t="s">
        <v>997</v>
      </c>
      <c r="E821" s="29" t="s">
        <v>24</v>
      </c>
      <c r="F821" s="31">
        <v>1</v>
      </c>
      <c r="G821" s="19">
        <v>40.841499999999996</v>
      </c>
      <c r="H821" s="20">
        <v>0.26400000000000001</v>
      </c>
      <c r="I821" s="21">
        <f t="shared" si="177"/>
        <v>51.62</v>
      </c>
      <c r="J821" s="62">
        <f t="shared" si="178"/>
        <v>51.62</v>
      </c>
    </row>
    <row r="822" spans="1:10" ht="38.25" x14ac:dyDescent="0.2">
      <c r="A822" s="16" t="s">
        <v>985</v>
      </c>
      <c r="B822" s="16" t="s">
        <v>91</v>
      </c>
      <c r="C822" s="29" t="s">
        <v>1005</v>
      </c>
      <c r="D822" s="30" t="s">
        <v>998</v>
      </c>
      <c r="E822" s="29" t="s">
        <v>24</v>
      </c>
      <c r="F822" s="31">
        <v>13</v>
      </c>
      <c r="G822" s="19">
        <v>259.87399999999997</v>
      </c>
      <c r="H822" s="20">
        <v>0.26400000000000001</v>
      </c>
      <c r="I822" s="21">
        <f t="shared" si="177"/>
        <v>328.48</v>
      </c>
      <c r="J822" s="62">
        <f t="shared" si="178"/>
        <v>4270.24</v>
      </c>
    </row>
    <row r="823" spans="1:10" ht="38.25" x14ac:dyDescent="0.2">
      <c r="A823" s="16" t="s">
        <v>986</v>
      </c>
      <c r="B823" s="16" t="s">
        <v>91</v>
      </c>
      <c r="C823" s="29" t="s">
        <v>1012</v>
      </c>
      <c r="D823" s="30" t="s">
        <v>999</v>
      </c>
      <c r="E823" s="29" t="s">
        <v>62</v>
      </c>
      <c r="F823" s="31">
        <v>1</v>
      </c>
      <c r="G823" s="19">
        <v>3066.21</v>
      </c>
      <c r="H823" s="20">
        <v>0.26400000000000001</v>
      </c>
      <c r="I823" s="21">
        <f t="shared" ref="I823:I825" si="179">ROUND((G823*(1+H823)),2)</f>
        <v>3875.69</v>
      </c>
      <c r="J823" s="62">
        <f t="shared" ref="J823:J825" si="180">ROUND((I823*F823),2)</f>
        <v>3875.69</v>
      </c>
    </row>
    <row r="824" spans="1:10" x14ac:dyDescent="0.2">
      <c r="A824" s="16" t="s">
        <v>987</v>
      </c>
      <c r="B824" s="16" t="s">
        <v>91</v>
      </c>
      <c r="C824" s="29" t="s">
        <v>1013</v>
      </c>
      <c r="D824" s="30" t="s">
        <v>1000</v>
      </c>
      <c r="E824" s="29" t="s">
        <v>62</v>
      </c>
      <c r="F824" s="31">
        <v>1</v>
      </c>
      <c r="G824" s="19">
        <v>337.05</v>
      </c>
      <c r="H824" s="20">
        <v>0.26400000000000001</v>
      </c>
      <c r="I824" s="21">
        <f t="shared" si="179"/>
        <v>426.03</v>
      </c>
      <c r="J824" s="62">
        <f t="shared" si="180"/>
        <v>426.03</v>
      </c>
    </row>
    <row r="825" spans="1:10" ht="25.5" x14ac:dyDescent="0.2">
      <c r="A825" s="16" t="s">
        <v>988</v>
      </c>
      <c r="B825" s="16" t="s">
        <v>91</v>
      </c>
      <c r="C825" s="29" t="s">
        <v>1014</v>
      </c>
      <c r="D825" s="30" t="s">
        <v>1001</v>
      </c>
      <c r="E825" s="29" t="s">
        <v>51</v>
      </c>
      <c r="F825" s="31">
        <v>2</v>
      </c>
      <c r="G825" s="19">
        <v>86.5</v>
      </c>
      <c r="H825" s="20">
        <v>0.26400000000000001</v>
      </c>
      <c r="I825" s="21">
        <f t="shared" si="179"/>
        <v>109.34</v>
      </c>
      <c r="J825" s="62">
        <f t="shared" si="180"/>
        <v>218.68</v>
      </c>
    </row>
    <row r="826" spans="1:10" x14ac:dyDescent="0.2">
      <c r="A826" s="16" t="s">
        <v>989</v>
      </c>
      <c r="B826" s="16" t="s">
        <v>22</v>
      </c>
      <c r="C826" s="29">
        <v>103029</v>
      </c>
      <c r="D826" s="30" t="s">
        <v>1002</v>
      </c>
      <c r="E826" s="29" t="s">
        <v>62</v>
      </c>
      <c r="F826" s="31">
        <v>1</v>
      </c>
      <c r="G826" s="19">
        <v>48.08</v>
      </c>
      <c r="H826" s="20">
        <v>0.26400000000000001</v>
      </c>
      <c r="I826" s="21">
        <f t="shared" si="177"/>
        <v>60.77</v>
      </c>
      <c r="J826" s="62">
        <f t="shared" si="178"/>
        <v>60.77</v>
      </c>
    </row>
    <row r="827" spans="1:10" ht="25.5" x14ac:dyDescent="0.2">
      <c r="A827" s="16" t="s">
        <v>990</v>
      </c>
      <c r="B827" s="16" t="s">
        <v>91</v>
      </c>
      <c r="C827" s="29">
        <v>92690</v>
      </c>
      <c r="D827" s="30" t="s">
        <v>1003</v>
      </c>
      <c r="E827" s="29" t="s">
        <v>62</v>
      </c>
      <c r="F827" s="31">
        <v>10</v>
      </c>
      <c r="G827" s="19">
        <v>90.95</v>
      </c>
      <c r="H827" s="20">
        <v>0.26400000000000001</v>
      </c>
      <c r="I827" s="21">
        <f t="shared" si="177"/>
        <v>114.96</v>
      </c>
      <c r="J827" s="62">
        <f t="shared" si="178"/>
        <v>1149.5999999999999</v>
      </c>
    </row>
    <row r="828" spans="1:10" ht="25.5" x14ac:dyDescent="0.2">
      <c r="A828" s="16" t="s">
        <v>991</v>
      </c>
      <c r="B828" s="16" t="s">
        <v>91</v>
      </c>
      <c r="C828" s="29" t="s">
        <v>1015</v>
      </c>
      <c r="D828" s="30" t="s">
        <v>1004</v>
      </c>
      <c r="E828" s="29" t="s">
        <v>51</v>
      </c>
      <c r="F828" s="31">
        <v>1</v>
      </c>
      <c r="G828" s="19">
        <v>1450</v>
      </c>
      <c r="H828" s="20">
        <v>0.26400000000000001</v>
      </c>
      <c r="I828" s="21">
        <f t="shared" si="177"/>
        <v>1832.8</v>
      </c>
      <c r="J828" s="62">
        <f t="shared" si="178"/>
        <v>1832.8</v>
      </c>
    </row>
    <row r="829" spans="1:10" ht="12.75" customHeight="1" x14ac:dyDescent="0.2">
      <c r="A829" s="144" t="s">
        <v>43</v>
      </c>
      <c r="B829" s="145"/>
      <c r="C829" s="145"/>
      <c r="D829" s="145"/>
      <c r="E829" s="145"/>
      <c r="F829" s="145"/>
      <c r="G829" s="145"/>
      <c r="H829" s="145"/>
      <c r="I829" s="146"/>
      <c r="J829" s="60">
        <f>SUM(J816:J828)</f>
        <v>20681.11</v>
      </c>
    </row>
    <row r="830" spans="1:10" x14ac:dyDescent="0.2">
      <c r="A830" s="144" t="s">
        <v>634</v>
      </c>
      <c r="B830" s="145"/>
      <c r="C830" s="145"/>
      <c r="D830" s="145"/>
      <c r="E830" s="145"/>
      <c r="F830" s="145"/>
      <c r="G830" s="145"/>
      <c r="H830" s="145"/>
      <c r="I830" s="146"/>
      <c r="J830" s="60">
        <f>SUM(J19,J78,J149,J194,J225,J315,J340,J359,J362,J384,J432,J442,J468,J480,J483,J613,J723,J814,J829)</f>
        <v>3964184.0299999993</v>
      </c>
    </row>
    <row r="831" spans="1:10" x14ac:dyDescent="0.2">
      <c r="A831" s="147" t="s">
        <v>635</v>
      </c>
      <c r="B831" s="148"/>
      <c r="C831" s="148"/>
      <c r="D831" s="148"/>
      <c r="E831" s="44"/>
      <c r="F831" s="45"/>
      <c r="G831" s="46"/>
      <c r="H831" s="47"/>
      <c r="I831" s="44"/>
      <c r="J831" s="48"/>
    </row>
    <row r="832" spans="1:10" x14ac:dyDescent="0.2">
      <c r="A832" s="149"/>
      <c r="B832" s="150"/>
      <c r="C832" s="150"/>
      <c r="D832" s="150"/>
      <c r="E832" s="49"/>
      <c r="F832" s="50"/>
      <c r="G832" s="51"/>
      <c r="H832" s="44"/>
      <c r="I832" s="44"/>
      <c r="J832" s="48"/>
    </row>
    <row r="833" spans="1:10" x14ac:dyDescent="0.2">
      <c r="A833" s="151"/>
      <c r="B833" s="152"/>
      <c r="C833" s="152"/>
      <c r="D833" s="152"/>
      <c r="E833" s="54"/>
      <c r="F833" s="45"/>
      <c r="G833" s="46"/>
      <c r="H833" s="44"/>
      <c r="I833" s="44"/>
      <c r="J833" s="48"/>
    </row>
    <row r="834" spans="1:10" x14ac:dyDescent="0.2">
      <c r="A834" s="151"/>
      <c r="B834" s="152"/>
      <c r="C834" s="152"/>
      <c r="D834" s="152"/>
      <c r="E834" s="54"/>
      <c r="F834" s="45"/>
      <c r="G834" s="46"/>
      <c r="H834" s="44"/>
      <c r="I834" s="44"/>
      <c r="J834" s="48"/>
    </row>
    <row r="835" spans="1:10" x14ac:dyDescent="0.2">
      <c r="A835" s="52"/>
      <c r="B835" s="53"/>
      <c r="C835" s="53"/>
      <c r="D835" s="53"/>
      <c r="E835" s="54"/>
      <c r="F835" s="45"/>
      <c r="G835" s="46"/>
      <c r="H835" s="44"/>
      <c r="I835" s="44"/>
      <c r="J835" s="48"/>
    </row>
    <row r="836" spans="1:10" ht="57" customHeight="1" thickBot="1" x14ac:dyDescent="0.25">
      <c r="A836" s="153"/>
      <c r="B836" s="154"/>
      <c r="C836" s="154"/>
      <c r="D836" s="154"/>
      <c r="E836" s="55"/>
      <c r="F836" s="56"/>
      <c r="G836" s="57"/>
      <c r="H836" s="58"/>
      <c r="I836" s="58"/>
      <c r="J836" s="59"/>
    </row>
  </sheetData>
  <mergeCells count="38">
    <mergeCell ref="A833:D833"/>
    <mergeCell ref="A834:D834"/>
    <mergeCell ref="A836:D836"/>
    <mergeCell ref="A613:I613"/>
    <mergeCell ref="A723:I723"/>
    <mergeCell ref="A830:I830"/>
    <mergeCell ref="A814:I814"/>
    <mergeCell ref="A829:I829"/>
    <mergeCell ref="A468:I468"/>
    <mergeCell ref="A480:I480"/>
    <mergeCell ref="A483:I483"/>
    <mergeCell ref="A831:D831"/>
    <mergeCell ref="A832:D832"/>
    <mergeCell ref="A442:I442"/>
    <mergeCell ref="A78:I78"/>
    <mergeCell ref="A79:J79"/>
    <mergeCell ref="A149:I149"/>
    <mergeCell ref="A194:I194"/>
    <mergeCell ref="A225:I225"/>
    <mergeCell ref="A315:I315"/>
    <mergeCell ref="A340:I340"/>
    <mergeCell ref="A359:I359"/>
    <mergeCell ref="A362:I362"/>
    <mergeCell ref="A384:I384"/>
    <mergeCell ref="A432:I432"/>
    <mergeCell ref="A20:J20"/>
    <mergeCell ref="A1:H2"/>
    <mergeCell ref="I1:J1"/>
    <mergeCell ref="I2:J2"/>
    <mergeCell ref="A3:H3"/>
    <mergeCell ref="I3:J3"/>
    <mergeCell ref="A4:H5"/>
    <mergeCell ref="I4:J5"/>
    <mergeCell ref="A6:H7"/>
    <mergeCell ref="I6:J6"/>
    <mergeCell ref="I7:J8"/>
    <mergeCell ref="A8:H8"/>
    <mergeCell ref="A19:I19"/>
  </mergeCells>
  <phoneticPr fontId="12" type="noConversion"/>
  <printOptions horizontalCentered="1" verticalCentered="1"/>
  <pageMargins left="0.25" right="0.25" top="0.75" bottom="0.75" header="0.3" footer="0.3"/>
  <pageSetup paperSize="9" scale="6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1026-307E-445C-B358-FC074EC99182}">
  <sheetPr>
    <pageSetUpPr fitToPage="1"/>
  </sheetPr>
  <dimension ref="A1:R43"/>
  <sheetViews>
    <sheetView tabSelected="1" view="pageBreakPreview" topLeftCell="C1" zoomScaleNormal="100" zoomScaleSheetLayoutView="100" workbookViewId="0">
      <selection activeCell="A43" sqref="A1:R43"/>
    </sheetView>
  </sheetViews>
  <sheetFormatPr defaultRowHeight="12.75" x14ac:dyDescent="0.2"/>
  <cols>
    <col min="1" max="1" width="8.5" style="22" customWidth="1"/>
    <col min="2" max="2" width="62.5" style="22" customWidth="1"/>
    <col min="3" max="3" width="10.1640625" style="22" bestFit="1" customWidth="1"/>
    <col min="4" max="4" width="8.5" style="22" bestFit="1" customWidth="1"/>
    <col min="5" max="5" width="10.1640625" style="22" bestFit="1" customWidth="1"/>
    <col min="6" max="6" width="7.5" style="22" bestFit="1" customWidth="1"/>
    <col min="7" max="7" width="13.5" style="22" customWidth="1"/>
    <col min="8" max="8" width="7.5" style="22" bestFit="1" customWidth="1"/>
    <col min="9" max="9" width="11.6640625" style="22" bestFit="1" customWidth="1"/>
    <col min="10" max="10" width="8.5" style="22" bestFit="1" customWidth="1"/>
    <col min="11" max="11" width="11.6640625" style="22" bestFit="1" customWidth="1"/>
    <col min="12" max="12" width="8.5" style="22" bestFit="1" customWidth="1"/>
    <col min="13" max="13" width="11.6640625" style="22" bestFit="1" customWidth="1"/>
    <col min="14" max="14" width="8.5" style="22" bestFit="1" customWidth="1"/>
    <col min="15" max="15" width="11.6640625" style="22" bestFit="1" customWidth="1"/>
    <col min="16" max="16" width="8.5" style="22" bestFit="1" customWidth="1"/>
    <col min="17" max="17" width="14" style="22" bestFit="1" customWidth="1"/>
    <col min="18" max="18" width="7.1640625" style="22" bestFit="1" customWidth="1"/>
    <col min="19" max="16384" width="9.33203125" style="22"/>
  </cols>
  <sheetData>
    <row r="1" spans="1:18" ht="51.75" customHeight="1" x14ac:dyDescent="0.2">
      <c r="A1" s="157" t="s">
        <v>1119</v>
      </c>
      <c r="B1" s="158"/>
      <c r="C1" s="158"/>
      <c r="D1" s="158"/>
      <c r="E1" s="158"/>
      <c r="F1" s="158"/>
      <c r="G1" s="158"/>
      <c r="H1" s="158"/>
      <c r="I1" s="158"/>
      <c r="J1" s="158"/>
      <c r="K1" s="158"/>
      <c r="L1" s="158"/>
      <c r="M1" s="158"/>
      <c r="N1" s="158"/>
      <c r="O1" s="158"/>
      <c r="P1" s="158"/>
      <c r="Q1" s="159" t="s">
        <v>1120</v>
      </c>
      <c r="R1" s="160"/>
    </row>
    <row r="2" spans="1:18" x14ac:dyDescent="0.2">
      <c r="A2" s="161" t="s">
        <v>3</v>
      </c>
      <c r="B2" s="162"/>
      <c r="C2" s="162"/>
      <c r="D2" s="162"/>
      <c r="E2" s="162"/>
      <c r="F2" s="162"/>
      <c r="G2" s="162"/>
      <c r="H2" s="162"/>
      <c r="I2" s="162"/>
      <c r="J2" s="162"/>
      <c r="K2" s="162"/>
      <c r="L2" s="162"/>
      <c r="M2" s="162"/>
      <c r="N2" s="162"/>
      <c r="O2" s="162"/>
      <c r="P2" s="162"/>
      <c r="Q2" s="163" t="s">
        <v>4</v>
      </c>
      <c r="R2" s="164"/>
    </row>
    <row r="3" spans="1:18" x14ac:dyDescent="0.2">
      <c r="A3" s="165" t="s">
        <v>5</v>
      </c>
      <c r="B3" s="166"/>
      <c r="C3" s="166"/>
      <c r="D3" s="166"/>
      <c r="E3" s="166"/>
      <c r="F3" s="166"/>
      <c r="G3" s="166"/>
      <c r="H3" s="166"/>
      <c r="I3" s="166"/>
      <c r="J3" s="166"/>
      <c r="K3" s="166"/>
      <c r="L3" s="166"/>
      <c r="M3" s="166"/>
      <c r="N3" s="166"/>
      <c r="O3" s="166"/>
      <c r="P3" s="166"/>
      <c r="Q3" s="168" t="s">
        <v>1121</v>
      </c>
      <c r="R3" s="169"/>
    </row>
    <row r="4" spans="1:18" ht="15" customHeight="1" x14ac:dyDescent="0.2">
      <c r="A4" s="167"/>
      <c r="B4" s="166"/>
      <c r="C4" s="166"/>
      <c r="D4" s="166"/>
      <c r="E4" s="166"/>
      <c r="F4" s="166"/>
      <c r="G4" s="166"/>
      <c r="H4" s="166"/>
      <c r="I4" s="166"/>
      <c r="J4" s="166"/>
      <c r="K4" s="166"/>
      <c r="L4" s="166"/>
      <c r="M4" s="166"/>
      <c r="N4" s="166"/>
      <c r="O4" s="166"/>
      <c r="P4" s="166"/>
      <c r="Q4" s="170"/>
      <c r="R4" s="171"/>
    </row>
    <row r="5" spans="1:18" x14ac:dyDescent="0.2">
      <c r="A5" s="136" t="s">
        <v>7</v>
      </c>
      <c r="B5" s="137"/>
      <c r="C5" s="137"/>
      <c r="D5" s="137"/>
      <c r="E5" s="137"/>
      <c r="F5" s="137"/>
      <c r="G5" s="137"/>
      <c r="H5" s="137"/>
      <c r="I5" s="137"/>
      <c r="J5" s="137"/>
      <c r="K5" s="137"/>
      <c r="L5" s="137"/>
      <c r="M5" s="137"/>
      <c r="N5" s="137"/>
      <c r="O5" s="137"/>
      <c r="P5" s="137"/>
      <c r="Q5" s="172" t="s">
        <v>8</v>
      </c>
      <c r="R5" s="173"/>
    </row>
    <row r="6" spans="1:18" x14ac:dyDescent="0.2">
      <c r="A6" s="136"/>
      <c r="B6" s="137"/>
      <c r="C6" s="137"/>
      <c r="D6" s="137"/>
      <c r="E6" s="137"/>
      <c r="F6" s="137"/>
      <c r="G6" s="137"/>
      <c r="H6" s="137"/>
      <c r="I6" s="137"/>
      <c r="J6" s="137"/>
      <c r="K6" s="137"/>
      <c r="L6" s="137"/>
      <c r="M6" s="137"/>
      <c r="N6" s="137"/>
      <c r="O6" s="137"/>
      <c r="P6" s="137"/>
      <c r="Q6" s="174">
        <v>46113</v>
      </c>
      <c r="R6" s="175"/>
    </row>
    <row r="7" spans="1:18" x14ac:dyDescent="0.2">
      <c r="A7" s="167" t="s">
        <v>1122</v>
      </c>
      <c r="B7" s="166"/>
      <c r="C7" s="166"/>
      <c r="D7" s="166"/>
      <c r="E7" s="166"/>
      <c r="F7" s="166"/>
      <c r="G7" s="166" t="s">
        <v>1123</v>
      </c>
      <c r="H7" s="166"/>
      <c r="I7" s="166"/>
      <c r="J7" s="166"/>
      <c r="K7" s="166"/>
      <c r="L7" s="166"/>
      <c r="M7" s="166"/>
      <c r="N7" s="166"/>
      <c r="O7" s="166"/>
      <c r="P7" s="166"/>
      <c r="Q7" s="176"/>
      <c r="R7" s="177"/>
    </row>
    <row r="8" spans="1:18" ht="6" customHeight="1" x14ac:dyDescent="0.2">
      <c r="A8" s="155"/>
      <c r="B8" s="156"/>
      <c r="C8" s="156"/>
      <c r="D8" s="156"/>
      <c r="E8" s="156"/>
      <c r="F8" s="156"/>
      <c r="G8" s="156"/>
      <c r="H8" s="156"/>
      <c r="I8" s="156"/>
      <c r="J8" s="156"/>
      <c r="K8" s="156"/>
      <c r="L8" s="156"/>
      <c r="M8" s="156"/>
      <c r="N8" s="156"/>
      <c r="O8" s="156"/>
      <c r="P8" s="156"/>
      <c r="Q8" s="80"/>
      <c r="R8" s="81"/>
    </row>
    <row r="9" spans="1:18" x14ac:dyDescent="0.2">
      <c r="A9" s="184" t="s">
        <v>10</v>
      </c>
      <c r="B9" s="185" t="s">
        <v>13</v>
      </c>
      <c r="C9" s="180" t="s">
        <v>1124</v>
      </c>
      <c r="D9" s="180"/>
      <c r="E9" s="180"/>
      <c r="F9" s="180"/>
      <c r="G9" s="180"/>
      <c r="H9" s="180"/>
      <c r="I9" s="180"/>
      <c r="J9" s="180"/>
      <c r="K9" s="180"/>
      <c r="L9" s="180"/>
      <c r="M9" s="180"/>
      <c r="N9" s="180"/>
      <c r="O9" s="180"/>
      <c r="P9" s="180"/>
      <c r="Q9" s="178" t="s">
        <v>1125</v>
      </c>
      <c r="R9" s="179"/>
    </row>
    <row r="10" spans="1:18" x14ac:dyDescent="0.2">
      <c r="A10" s="184"/>
      <c r="B10" s="185"/>
      <c r="C10" s="180" t="s">
        <v>1126</v>
      </c>
      <c r="D10" s="180"/>
      <c r="E10" s="180" t="s">
        <v>1127</v>
      </c>
      <c r="F10" s="180"/>
      <c r="G10" s="180" t="s">
        <v>1128</v>
      </c>
      <c r="H10" s="180"/>
      <c r="I10" s="181" t="s">
        <v>1129</v>
      </c>
      <c r="J10" s="182"/>
      <c r="K10" s="180" t="s">
        <v>1130</v>
      </c>
      <c r="L10" s="180"/>
      <c r="M10" s="180" t="s">
        <v>1131</v>
      </c>
      <c r="N10" s="180"/>
      <c r="O10" s="180" t="s">
        <v>1132</v>
      </c>
      <c r="P10" s="180"/>
      <c r="Q10" s="178"/>
      <c r="R10" s="179"/>
    </row>
    <row r="11" spans="1:18" x14ac:dyDescent="0.2">
      <c r="A11" s="184"/>
      <c r="B11" s="185"/>
      <c r="C11" s="82" t="s">
        <v>1133</v>
      </c>
      <c r="D11" s="82" t="s">
        <v>1134</v>
      </c>
      <c r="E11" s="82" t="s">
        <v>1133</v>
      </c>
      <c r="F11" s="82" t="s">
        <v>1134</v>
      </c>
      <c r="G11" s="82" t="s">
        <v>1133</v>
      </c>
      <c r="H11" s="82" t="s">
        <v>1134</v>
      </c>
      <c r="I11" s="82" t="s">
        <v>1133</v>
      </c>
      <c r="J11" s="82" t="s">
        <v>1134</v>
      </c>
      <c r="K11" s="82" t="s">
        <v>1133</v>
      </c>
      <c r="L11" s="82" t="s">
        <v>1134</v>
      </c>
      <c r="M11" s="82" t="s">
        <v>1133</v>
      </c>
      <c r="N11" s="82" t="s">
        <v>1134</v>
      </c>
      <c r="O11" s="82" t="s">
        <v>1133</v>
      </c>
      <c r="P11" s="82" t="s">
        <v>1134</v>
      </c>
      <c r="Q11" s="83" t="s">
        <v>1133</v>
      </c>
      <c r="R11" s="84" t="s">
        <v>1134</v>
      </c>
    </row>
    <row r="12" spans="1:18" x14ac:dyDescent="0.2">
      <c r="A12" s="79">
        <v>1</v>
      </c>
      <c r="B12" s="85" t="str">
        <f>'ORÇAMENTO GINÁSIO'!D11</f>
        <v>SERVIÇOS PRELIMINARES</v>
      </c>
      <c r="C12" s="86">
        <f>Q12*D12</f>
        <v>9850.8179999999993</v>
      </c>
      <c r="D12" s="87">
        <v>0.15</v>
      </c>
      <c r="E12" s="86">
        <f>Q12*F12</f>
        <v>9850.8179999999993</v>
      </c>
      <c r="F12" s="88">
        <v>0.15</v>
      </c>
      <c r="G12" s="86">
        <f>Q12*H12</f>
        <v>9850.8179999999993</v>
      </c>
      <c r="H12" s="89">
        <v>0.15</v>
      </c>
      <c r="I12" s="86">
        <f>Q12*J12</f>
        <v>9850.8179999999993</v>
      </c>
      <c r="J12" s="89">
        <v>0.15</v>
      </c>
      <c r="K12" s="86">
        <f>Q12*L12</f>
        <v>9850.8179999999993</v>
      </c>
      <c r="L12" s="89">
        <v>0.15</v>
      </c>
      <c r="M12" s="86">
        <f>Q12*N12</f>
        <v>9850.8179999999993</v>
      </c>
      <c r="N12" s="90">
        <v>0.15</v>
      </c>
      <c r="O12" s="86">
        <f>Q12*P12</f>
        <v>6567.2119999999995</v>
      </c>
      <c r="P12" s="89">
        <v>0.1</v>
      </c>
      <c r="Q12" s="91">
        <f>'[4]Orcamento Administração'!J19</f>
        <v>65672.12</v>
      </c>
      <c r="R12" s="92">
        <f>SUM(D12,F12,H12,J12,L12,N12,P12)</f>
        <v>1</v>
      </c>
    </row>
    <row r="13" spans="1:18" x14ac:dyDescent="0.2">
      <c r="A13" s="79">
        <v>2</v>
      </c>
      <c r="B13" s="85" t="str">
        <f>'ORÇAMENTO GINÁSIO'!D21</f>
        <v>DEMOLIÇÕES E REMOÇÕES</v>
      </c>
      <c r="C13" s="86">
        <f>Q13*D13</f>
        <v>64917.070000000007</v>
      </c>
      <c r="D13" s="87">
        <v>1</v>
      </c>
      <c r="E13" s="86"/>
      <c r="F13" s="88"/>
      <c r="G13" s="86"/>
      <c r="H13" s="89"/>
      <c r="I13" s="86"/>
      <c r="J13" s="89"/>
      <c r="K13" s="86"/>
      <c r="L13" s="89"/>
      <c r="M13" s="86"/>
      <c r="N13" s="89"/>
      <c r="O13" s="86"/>
      <c r="P13" s="89"/>
      <c r="Q13" s="91">
        <f>'[4]Orcamento Administração'!J78</f>
        <v>64917.070000000007</v>
      </c>
      <c r="R13" s="92">
        <f t="shared" ref="R13:R26" si="0">SUM(D13,F13,H13,J13,L13,N13,P13)</f>
        <v>1</v>
      </c>
    </row>
    <row r="14" spans="1:18" x14ac:dyDescent="0.2">
      <c r="A14" s="79">
        <v>3</v>
      </c>
      <c r="B14" s="85" t="str">
        <f>'ORÇAMENTO GINÁSIO'!D80</f>
        <v>CONSTRUÇÃO PAVTO TÉRREO - FRENTE</v>
      </c>
      <c r="C14" s="86"/>
      <c r="D14" s="87"/>
      <c r="E14" s="86"/>
      <c r="F14" s="88"/>
      <c r="G14" s="86">
        <f>Q14*H14</f>
        <v>365403.451</v>
      </c>
      <c r="H14" s="89">
        <v>0.7</v>
      </c>
      <c r="I14" s="86">
        <f>Q14*J14</f>
        <v>156601.47899999999</v>
      </c>
      <c r="J14" s="89">
        <v>0.3</v>
      </c>
      <c r="K14" s="86"/>
      <c r="L14" s="89"/>
      <c r="M14" s="86"/>
      <c r="N14" s="89"/>
      <c r="O14" s="86"/>
      <c r="P14" s="89"/>
      <c r="Q14" s="91">
        <f>'[4]Orcamento Administração'!J149</f>
        <v>522004.93</v>
      </c>
      <c r="R14" s="92">
        <f t="shared" si="0"/>
        <v>1</v>
      </c>
    </row>
    <row r="15" spans="1:18" x14ac:dyDescent="0.2">
      <c r="A15" s="79">
        <v>4</v>
      </c>
      <c r="B15" s="85" t="str">
        <f>'ORÇAMENTO GINÁSIO'!D150</f>
        <v>CONSTRUÇÃO SEGUNDO PAVTO - FRENTE</v>
      </c>
      <c r="C15" s="86"/>
      <c r="D15" s="87"/>
      <c r="E15" s="86"/>
      <c r="F15" s="88"/>
      <c r="G15" s="86"/>
      <c r="H15" s="89"/>
      <c r="I15" s="86">
        <f>Q15*J15</f>
        <v>131843.49</v>
      </c>
      <c r="J15" s="89">
        <v>0.6</v>
      </c>
      <c r="K15" s="86">
        <f>Q15*L15</f>
        <v>87895.66</v>
      </c>
      <c r="L15" s="89">
        <v>0.4</v>
      </c>
      <c r="M15" s="86"/>
      <c r="N15" s="89"/>
      <c r="O15" s="86"/>
      <c r="P15" s="89"/>
      <c r="Q15" s="91">
        <f>'[4]Orcamento Administração'!J194</f>
        <v>219739.15</v>
      </c>
      <c r="R15" s="92">
        <f t="shared" si="0"/>
        <v>1</v>
      </c>
    </row>
    <row r="16" spans="1:18" x14ac:dyDescent="0.2">
      <c r="A16" s="79">
        <v>5</v>
      </c>
      <c r="B16" s="85" t="str">
        <f>'ORÇAMENTO GINÁSIO'!D195</f>
        <v>CONSTRUÇÃO COBERTURA/PLATIBANDA - FRENTE</v>
      </c>
      <c r="C16" s="86"/>
      <c r="D16" s="87"/>
      <c r="E16" s="86"/>
      <c r="F16" s="88"/>
      <c r="G16" s="86"/>
      <c r="H16" s="89"/>
      <c r="I16" s="86"/>
      <c r="J16" s="89"/>
      <c r="K16" s="86">
        <f>Q16*L16</f>
        <v>73830.758999999991</v>
      </c>
      <c r="L16" s="89">
        <v>0.3</v>
      </c>
      <c r="M16" s="86">
        <f>Q16*N16</f>
        <v>172271.77099999998</v>
      </c>
      <c r="N16" s="89">
        <v>0.7</v>
      </c>
      <c r="O16" s="86"/>
      <c r="P16" s="89"/>
      <c r="Q16" s="91">
        <f>'[4]Orcamento Administração'!J225</f>
        <v>246102.52999999997</v>
      </c>
      <c r="R16" s="92">
        <f t="shared" si="0"/>
        <v>1</v>
      </c>
    </row>
    <row r="17" spans="1:18" x14ac:dyDescent="0.2">
      <c r="A17" s="79">
        <v>6</v>
      </c>
      <c r="B17" s="85" t="str">
        <f>'ORÇAMENTO GINÁSIO'!D226</f>
        <v>CONSTRUÇÃO PAVTO TÉRREO - FUNDOS</v>
      </c>
      <c r="C17" s="86"/>
      <c r="D17" s="87"/>
      <c r="E17" s="86"/>
      <c r="F17" s="88"/>
      <c r="G17" s="86"/>
      <c r="H17" s="89"/>
      <c r="I17" s="86">
        <f>Q17*J17</f>
        <v>225204.56800000003</v>
      </c>
      <c r="J17" s="89">
        <v>0.4</v>
      </c>
      <c r="K17" s="86">
        <f>Q17*L17</f>
        <v>337806.85200000001</v>
      </c>
      <c r="L17" s="89">
        <v>0.6</v>
      </c>
      <c r="M17" s="86"/>
      <c r="N17" s="89"/>
      <c r="O17" s="86"/>
      <c r="P17" s="89"/>
      <c r="Q17" s="91">
        <f>'[4]Orcamento Administração'!J315</f>
        <v>563011.42000000004</v>
      </c>
      <c r="R17" s="92">
        <f t="shared" si="0"/>
        <v>1</v>
      </c>
    </row>
    <row r="18" spans="1:18" x14ac:dyDescent="0.2">
      <c r="A18" s="79">
        <v>7</v>
      </c>
      <c r="B18" s="85" t="str">
        <f>'ORÇAMENTO GINÁSIO'!D316</f>
        <v>CONSTRUÇÃO SEGUNDO PAVTO - FUNDOS</v>
      </c>
      <c r="C18" s="86"/>
      <c r="D18" s="87"/>
      <c r="E18" s="86"/>
      <c r="F18" s="88"/>
      <c r="G18" s="86"/>
      <c r="H18" s="89"/>
      <c r="I18" s="86"/>
      <c r="J18" s="89"/>
      <c r="K18" s="86">
        <f>Q18*L18</f>
        <v>119893.78800000002</v>
      </c>
      <c r="L18" s="89">
        <v>0.7</v>
      </c>
      <c r="M18" s="86">
        <f>Q18*N18</f>
        <v>51383.052000000003</v>
      </c>
      <c r="N18" s="89">
        <v>0.3</v>
      </c>
      <c r="O18" s="86"/>
      <c r="P18" s="89"/>
      <c r="Q18" s="91">
        <f>'[4]Orcamento Administração'!J340</f>
        <v>171276.84000000003</v>
      </c>
      <c r="R18" s="92">
        <f t="shared" si="0"/>
        <v>1</v>
      </c>
    </row>
    <row r="19" spans="1:18" x14ac:dyDescent="0.2">
      <c r="A19" s="79">
        <v>8</v>
      </c>
      <c r="B19" s="85" t="str">
        <f>'ORÇAMENTO GINÁSIO'!D341</f>
        <v>CONSTRUÇÃO COBERTURA/PLATIBANDA - FUNDOS</v>
      </c>
      <c r="C19" s="86"/>
      <c r="D19" s="87"/>
      <c r="E19" s="86"/>
      <c r="F19" s="88"/>
      <c r="G19" s="86"/>
      <c r="H19" s="89"/>
      <c r="I19" s="86"/>
      <c r="J19" s="89"/>
      <c r="K19" s="86">
        <f>Q19*L19</f>
        <v>97707.364999999976</v>
      </c>
      <c r="L19" s="89">
        <v>0.7</v>
      </c>
      <c r="M19" s="86">
        <f>Q19*N19</f>
        <v>41874.584999999992</v>
      </c>
      <c r="N19" s="89">
        <v>0.3</v>
      </c>
      <c r="O19" s="86"/>
      <c r="P19" s="89"/>
      <c r="Q19" s="91">
        <f>'[4]Orcamento Administração'!J359</f>
        <v>139581.94999999998</v>
      </c>
      <c r="R19" s="92">
        <f t="shared" si="0"/>
        <v>1</v>
      </c>
    </row>
    <row r="20" spans="1:18" x14ac:dyDescent="0.2">
      <c r="A20" s="79">
        <v>9</v>
      </c>
      <c r="B20" s="85" t="str">
        <f>'ORÇAMENTO GINÁSIO'!D360</f>
        <v>CLIMATIZAÇÃO</v>
      </c>
      <c r="C20" s="86"/>
      <c r="D20" s="87"/>
      <c r="E20" s="86"/>
      <c r="F20" s="88"/>
      <c r="G20" s="86"/>
      <c r="H20" s="89"/>
      <c r="I20" s="86"/>
      <c r="J20" s="89"/>
      <c r="K20" s="86"/>
      <c r="L20" s="89"/>
      <c r="M20" s="86">
        <f>Q20*N20</f>
        <v>57481.02</v>
      </c>
      <c r="N20" s="89">
        <v>0.5</v>
      </c>
      <c r="O20" s="86">
        <f>Q20*P20</f>
        <v>57481.02</v>
      </c>
      <c r="P20" s="89">
        <v>0.5</v>
      </c>
      <c r="Q20" s="91">
        <f>'[4]Orcamento Administração'!J362</f>
        <v>114962.04</v>
      </c>
      <c r="R20" s="92">
        <f t="shared" si="0"/>
        <v>1</v>
      </c>
    </row>
    <row r="21" spans="1:18" x14ac:dyDescent="0.2">
      <c r="A21" s="79">
        <v>10</v>
      </c>
      <c r="B21" s="85" t="str">
        <f>'ORÇAMENTO GINÁSIO'!D363</f>
        <v>HIDRÁULICA</v>
      </c>
      <c r="C21" s="86"/>
      <c r="D21" s="87"/>
      <c r="E21" s="86"/>
      <c r="F21" s="88"/>
      <c r="G21" s="86"/>
      <c r="H21" s="89"/>
      <c r="I21" s="86">
        <f>Q21*J21</f>
        <v>12293.880000000001</v>
      </c>
      <c r="J21" s="89">
        <v>0.2</v>
      </c>
      <c r="K21" s="86">
        <f>Q21*L21</f>
        <v>18440.82</v>
      </c>
      <c r="L21" s="89">
        <v>0.3</v>
      </c>
      <c r="M21" s="86">
        <f>Q21*N21</f>
        <v>12293.880000000001</v>
      </c>
      <c r="N21" s="89">
        <v>0.2</v>
      </c>
      <c r="O21" s="86">
        <f>Q21*P21</f>
        <v>18440.82</v>
      </c>
      <c r="P21" s="89">
        <v>0.3</v>
      </c>
      <c r="Q21" s="91">
        <f>'[4]Orcamento Administração'!J384</f>
        <v>61469.4</v>
      </c>
      <c r="R21" s="92">
        <f t="shared" si="0"/>
        <v>1</v>
      </c>
    </row>
    <row r="22" spans="1:18" x14ac:dyDescent="0.2">
      <c r="A22" s="79">
        <v>11</v>
      </c>
      <c r="B22" s="85" t="str">
        <f>'ORÇAMENTO GINÁSIO'!D385</f>
        <v>ESGOTO E PLUVIAL</v>
      </c>
      <c r="C22" s="86"/>
      <c r="D22" s="87"/>
      <c r="E22" s="86"/>
      <c r="F22" s="88"/>
      <c r="G22" s="86"/>
      <c r="H22" s="89"/>
      <c r="I22" s="86">
        <f>Q22*J22</f>
        <v>57155.046000000002</v>
      </c>
      <c r="J22" s="89">
        <v>0.3</v>
      </c>
      <c r="K22" s="86">
        <f>Q22*L22</f>
        <v>57155.046000000002</v>
      </c>
      <c r="L22" s="89">
        <v>0.3</v>
      </c>
      <c r="M22" s="86">
        <f>Q22*N22</f>
        <v>38103.364000000001</v>
      </c>
      <c r="N22" s="90">
        <v>0.2</v>
      </c>
      <c r="O22" s="86">
        <f>Q22*P22</f>
        <v>38103.364000000001</v>
      </c>
      <c r="P22" s="89">
        <v>0.2</v>
      </c>
      <c r="Q22" s="91">
        <f>'[4]Orcamento Administração'!J432</f>
        <v>190516.82</v>
      </c>
      <c r="R22" s="92">
        <f t="shared" si="0"/>
        <v>1</v>
      </c>
    </row>
    <row r="23" spans="1:18" x14ac:dyDescent="0.2">
      <c r="A23" s="79">
        <v>12</v>
      </c>
      <c r="B23" s="85" t="str">
        <f>'ORÇAMENTO GINÁSIO'!D433</f>
        <v>ACESSIBILIDADE GERAL</v>
      </c>
      <c r="C23" s="86"/>
      <c r="D23" s="87"/>
      <c r="E23" s="86"/>
      <c r="F23" s="88"/>
      <c r="G23" s="86"/>
      <c r="H23" s="89"/>
      <c r="I23" s="86"/>
      <c r="J23" s="89"/>
      <c r="K23" s="86"/>
      <c r="L23" s="89"/>
      <c r="M23" s="86"/>
      <c r="N23" s="89"/>
      <c r="O23" s="86">
        <f>Q23*P23</f>
        <v>16523.189999999999</v>
      </c>
      <c r="P23" s="89">
        <v>1</v>
      </c>
      <c r="Q23" s="91">
        <f>'[4]Orcamento Administração'!J442</f>
        <v>16523.189999999999</v>
      </c>
      <c r="R23" s="92">
        <f t="shared" si="0"/>
        <v>1</v>
      </c>
    </row>
    <row r="24" spans="1:18" x14ac:dyDescent="0.2">
      <c r="A24" s="79">
        <v>13</v>
      </c>
      <c r="B24" s="85" t="str">
        <f>'ORÇAMENTO GINÁSIO'!D443</f>
        <v>REFORMA QUADRA</v>
      </c>
      <c r="C24" s="86"/>
      <c r="D24" s="87"/>
      <c r="E24" s="86">
        <f>Q24*F24</f>
        <v>172302.79500000001</v>
      </c>
      <c r="F24" s="88">
        <v>0.5</v>
      </c>
      <c r="G24" s="86">
        <f>Q24*H24</f>
        <v>172302.79500000001</v>
      </c>
      <c r="H24" s="89">
        <v>0.5</v>
      </c>
      <c r="I24" s="86"/>
      <c r="J24" s="89"/>
      <c r="K24" s="86"/>
      <c r="L24" s="89"/>
      <c r="M24" s="86"/>
      <c r="N24" s="89"/>
      <c r="O24" s="86"/>
      <c r="P24" s="89"/>
      <c r="Q24" s="91">
        <f>'[4]Orcamento Administração'!J468</f>
        <v>344605.59</v>
      </c>
      <c r="R24" s="92">
        <f t="shared" si="0"/>
        <v>1</v>
      </c>
    </row>
    <row r="25" spans="1:18" x14ac:dyDescent="0.2">
      <c r="A25" s="79">
        <v>14</v>
      </c>
      <c r="B25" s="85" t="str">
        <f>'ORÇAMENTO GINÁSIO'!D469</f>
        <v>ÁREA EXTERNA E PAISAGISMO</v>
      </c>
      <c r="C25" s="86"/>
      <c r="D25" s="87"/>
      <c r="E25" s="86"/>
      <c r="F25" s="88"/>
      <c r="G25" s="86"/>
      <c r="H25" s="89"/>
      <c r="I25" s="86"/>
      <c r="J25" s="89"/>
      <c r="K25" s="86"/>
      <c r="L25" s="89"/>
      <c r="M25" s="86">
        <f>Q25*N25</f>
        <v>14015.797999999995</v>
      </c>
      <c r="N25" s="89">
        <v>0.2</v>
      </c>
      <c r="O25" s="86">
        <f>Q25*P25</f>
        <v>56063.191999999981</v>
      </c>
      <c r="P25" s="89">
        <v>0.8</v>
      </c>
      <c r="Q25" s="91">
        <f>'[4]Orcamento Administração'!J480</f>
        <v>70078.989999999976</v>
      </c>
      <c r="R25" s="92">
        <f t="shared" si="0"/>
        <v>1</v>
      </c>
    </row>
    <row r="26" spans="1:18" x14ac:dyDescent="0.2">
      <c r="A26" s="79">
        <v>15</v>
      </c>
      <c r="B26" s="85" t="str">
        <f>'ORÇAMENTO GINÁSIO'!D481</f>
        <v>LIMPEZA FINAL DE OBRA</v>
      </c>
      <c r="C26" s="86"/>
      <c r="D26" s="87"/>
      <c r="E26" s="86"/>
      <c r="F26" s="88"/>
      <c r="G26" s="86"/>
      <c r="H26" s="89"/>
      <c r="I26" s="86"/>
      <c r="J26" s="89"/>
      <c r="K26" s="86"/>
      <c r="L26" s="89"/>
      <c r="M26" s="86"/>
      <c r="N26" s="89"/>
      <c r="O26" s="86"/>
      <c r="P26" s="89">
        <v>1</v>
      </c>
      <c r="Q26" s="91">
        <f>'[4]Orcamento Administração'!J483</f>
        <v>4184.13</v>
      </c>
      <c r="R26" s="92">
        <f t="shared" si="0"/>
        <v>1</v>
      </c>
    </row>
    <row r="27" spans="1:18" x14ac:dyDescent="0.2">
      <c r="A27" s="183" t="s">
        <v>1135</v>
      </c>
      <c r="B27" s="182"/>
      <c r="C27" s="93">
        <f>SUM(C12:C26)</f>
        <v>74767.888000000006</v>
      </c>
      <c r="D27" s="94">
        <f>(C27/$Q$27)</f>
        <v>2.6753972936760011E-2</v>
      </c>
      <c r="E27" s="93">
        <f>SUM(E12:E26)</f>
        <v>182153.61300000001</v>
      </c>
      <c r="F27" s="94">
        <f>E27/$Q$27</f>
        <v>6.517949032524574E-2</v>
      </c>
      <c r="G27" s="93">
        <f>SUM(G12:G26)</f>
        <v>547557.06400000001</v>
      </c>
      <c r="H27" s="94">
        <f>G27/$Q$27</f>
        <v>0.19593072993566127</v>
      </c>
      <c r="I27" s="93">
        <f>SUM(I12:I26)</f>
        <v>592949.28099999996</v>
      </c>
      <c r="J27" s="94">
        <f>I27/$Q$27</f>
        <v>0.21217329312211286</v>
      </c>
      <c r="K27" s="93">
        <f>SUM(K12:K26)</f>
        <v>802581.10800000001</v>
      </c>
      <c r="L27" s="94">
        <f>K27/$Q$27</f>
        <v>0.28718523175332789</v>
      </c>
      <c r="M27" s="93">
        <f>SUM(M12:M26)</f>
        <v>397274.288</v>
      </c>
      <c r="N27" s="94">
        <f>M27/$Q$27</f>
        <v>0.14215548725440261</v>
      </c>
      <c r="O27" s="93">
        <f>SUM(O12:O26)</f>
        <v>193178.79799999998</v>
      </c>
      <c r="P27" s="94">
        <f>O27/$Q$27</f>
        <v>6.9124599769995215E-2</v>
      </c>
      <c r="Q27" s="95">
        <f>SUM(Q12:Q26)</f>
        <v>2794646.1699999995</v>
      </c>
      <c r="R27" s="96">
        <f>Q27/O28</f>
        <v>1.0014994398562036</v>
      </c>
    </row>
    <row r="28" spans="1:18" x14ac:dyDescent="0.2">
      <c r="A28" s="183" t="s">
        <v>1136</v>
      </c>
      <c r="B28" s="182"/>
      <c r="C28" s="93">
        <f>C27</f>
        <v>74767.888000000006</v>
      </c>
      <c r="D28" s="94">
        <f>D27</f>
        <v>2.6753972936760011E-2</v>
      </c>
      <c r="E28" s="93">
        <f t="shared" ref="E28:P28" si="1">C28+E27</f>
        <v>256921.50100000002</v>
      </c>
      <c r="F28" s="94">
        <f t="shared" si="1"/>
        <v>9.1933463262005743E-2</v>
      </c>
      <c r="G28" s="93">
        <f t="shared" si="1"/>
        <v>804478.56500000006</v>
      </c>
      <c r="H28" s="94">
        <f t="shared" si="1"/>
        <v>0.28786419319766698</v>
      </c>
      <c r="I28" s="93">
        <f t="shared" si="1"/>
        <v>1397427.8459999999</v>
      </c>
      <c r="J28" s="94">
        <f t="shared" si="1"/>
        <v>0.50003748631977984</v>
      </c>
      <c r="K28" s="93">
        <f t="shared" si="1"/>
        <v>2200008.9539999999</v>
      </c>
      <c r="L28" s="94">
        <f t="shared" si="1"/>
        <v>0.78722271807310773</v>
      </c>
      <c r="M28" s="93">
        <f t="shared" si="1"/>
        <v>2597283.2420000001</v>
      </c>
      <c r="N28" s="94">
        <f t="shared" si="1"/>
        <v>0.92937820532751036</v>
      </c>
      <c r="O28" s="93">
        <f t="shared" si="1"/>
        <v>2790462.04</v>
      </c>
      <c r="P28" s="94">
        <f t="shared" si="1"/>
        <v>0.99850280509750555</v>
      </c>
      <c r="Q28" s="97"/>
      <c r="R28" s="98"/>
    </row>
    <row r="29" spans="1:18" x14ac:dyDescent="0.2">
      <c r="A29" s="184" t="s">
        <v>10</v>
      </c>
      <c r="B29" s="185" t="s">
        <v>13</v>
      </c>
      <c r="C29" s="180" t="s">
        <v>1124</v>
      </c>
      <c r="D29" s="180"/>
      <c r="E29" s="180"/>
      <c r="F29" s="180"/>
      <c r="G29" s="180"/>
      <c r="H29" s="180"/>
      <c r="I29" s="180"/>
      <c r="J29" s="180"/>
      <c r="K29" s="180"/>
      <c r="L29" s="180"/>
      <c r="M29" s="180"/>
      <c r="N29" s="180"/>
      <c r="O29" s="180"/>
      <c r="P29" s="180"/>
      <c r="Q29" s="178" t="s">
        <v>1125</v>
      </c>
      <c r="R29" s="179"/>
    </row>
    <row r="30" spans="1:18" x14ac:dyDescent="0.2">
      <c r="A30" s="184"/>
      <c r="B30" s="185"/>
      <c r="C30" s="180" t="s">
        <v>1126</v>
      </c>
      <c r="D30" s="180"/>
      <c r="E30" s="180" t="s">
        <v>1127</v>
      </c>
      <c r="F30" s="180"/>
      <c r="G30" s="180" t="s">
        <v>1128</v>
      </c>
      <c r="H30" s="180"/>
      <c r="I30" s="181" t="s">
        <v>1129</v>
      </c>
      <c r="J30" s="182"/>
      <c r="K30" s="180" t="s">
        <v>1130</v>
      </c>
      <c r="L30" s="180"/>
      <c r="M30" s="180" t="s">
        <v>1131</v>
      </c>
      <c r="N30" s="180"/>
      <c r="O30" s="180" t="s">
        <v>1132</v>
      </c>
      <c r="P30" s="180"/>
      <c r="Q30" s="178"/>
      <c r="R30" s="179"/>
    </row>
    <row r="31" spans="1:18" x14ac:dyDescent="0.2">
      <c r="A31" s="184"/>
      <c r="B31" s="185"/>
      <c r="C31" s="82" t="s">
        <v>1133</v>
      </c>
      <c r="D31" s="82" t="s">
        <v>1134</v>
      </c>
      <c r="E31" s="82" t="s">
        <v>1133</v>
      </c>
      <c r="F31" s="82" t="s">
        <v>1134</v>
      </c>
      <c r="G31" s="82" t="s">
        <v>1133</v>
      </c>
      <c r="H31" s="82" t="s">
        <v>1134</v>
      </c>
      <c r="I31" s="82" t="s">
        <v>1133</v>
      </c>
      <c r="J31" s="82" t="s">
        <v>1134</v>
      </c>
      <c r="K31" s="82" t="s">
        <v>1133</v>
      </c>
      <c r="L31" s="82" t="s">
        <v>1134</v>
      </c>
      <c r="M31" s="82" t="s">
        <v>1133</v>
      </c>
      <c r="N31" s="82" t="s">
        <v>1134</v>
      </c>
      <c r="O31" s="82" t="s">
        <v>1133</v>
      </c>
      <c r="P31" s="82" t="s">
        <v>1134</v>
      </c>
      <c r="Q31" s="83" t="s">
        <v>1133</v>
      </c>
      <c r="R31" s="84" t="s">
        <v>1134</v>
      </c>
    </row>
    <row r="32" spans="1:18" x14ac:dyDescent="0.2">
      <c r="A32" s="79">
        <v>16</v>
      </c>
      <c r="B32" s="85" t="str">
        <f>'ORÇAMENTO GINÁSIO'!D484</f>
        <v>ESTRUTURAL FRENTE</v>
      </c>
      <c r="C32" s="86">
        <f>Q32*D32</f>
        <v>271705.71499999997</v>
      </c>
      <c r="D32" s="87">
        <v>0.5</v>
      </c>
      <c r="E32" s="86">
        <f>Q32*F32</f>
        <v>271705.71499999997</v>
      </c>
      <c r="F32" s="88">
        <v>0.5</v>
      </c>
      <c r="G32" s="86"/>
      <c r="H32" s="89"/>
      <c r="I32" s="86"/>
      <c r="J32" s="89"/>
      <c r="K32" s="86"/>
      <c r="L32" s="89"/>
      <c r="M32" s="86"/>
      <c r="N32" s="90"/>
      <c r="O32" s="86"/>
      <c r="P32" s="89"/>
      <c r="Q32" s="91">
        <f>'ORÇAMENTO GINÁSIO'!J613</f>
        <v>543411.42999999993</v>
      </c>
      <c r="R32" s="92">
        <f>SUM(D32,F32,H32,J32,L32,N32,P32)</f>
        <v>1</v>
      </c>
    </row>
    <row r="33" spans="1:18" x14ac:dyDescent="0.2">
      <c r="A33" s="79">
        <v>17</v>
      </c>
      <c r="B33" s="85" t="str">
        <f>'ORÇAMENTO GINÁSIO'!D614</f>
        <v>ESTRUTURAL FUNDOS</v>
      </c>
      <c r="C33" s="86"/>
      <c r="D33" s="87"/>
      <c r="E33" s="86"/>
      <c r="F33" s="88"/>
      <c r="G33" s="86">
        <f>Q33*H33</f>
        <v>179033.73999999996</v>
      </c>
      <c r="H33" s="89">
        <v>0.5</v>
      </c>
      <c r="I33" s="86">
        <f>Q33*J33</f>
        <v>179033.73999999996</v>
      </c>
      <c r="J33" s="89">
        <v>0.5</v>
      </c>
      <c r="K33" s="86"/>
      <c r="L33" s="89"/>
      <c r="M33" s="86"/>
      <c r="N33" s="89"/>
      <c r="O33" s="86"/>
      <c r="P33" s="89"/>
      <c r="Q33" s="91">
        <f>'ORÇAMENTO GINÁSIO'!J723</f>
        <v>358067.47999999992</v>
      </c>
      <c r="R33" s="92">
        <f t="shared" ref="R33:R35" si="2">SUM(D33,F33,H33,J33,L33,N33,P33)</f>
        <v>1</v>
      </c>
    </row>
    <row r="34" spans="1:18" x14ac:dyDescent="0.2">
      <c r="A34" s="79">
        <v>18</v>
      </c>
      <c r="B34" s="85" t="str">
        <f>'ORÇAMENTO GINÁSIO'!D724</f>
        <v>INSTALAÇÕES ELÉTRICAS</v>
      </c>
      <c r="C34" s="86"/>
      <c r="D34" s="87"/>
      <c r="E34" s="86"/>
      <c r="F34" s="88"/>
      <c r="G34" s="86"/>
      <c r="H34" s="89"/>
      <c r="I34" s="86">
        <f>Q34*J34</f>
        <v>61844.459999999992</v>
      </c>
      <c r="J34" s="89">
        <v>0.25</v>
      </c>
      <c r="K34" s="86">
        <f>Q34*L34</f>
        <v>61844.459999999992</v>
      </c>
      <c r="L34" s="89">
        <v>0.25</v>
      </c>
      <c r="M34" s="86">
        <f>Q34*N34</f>
        <v>61844.459999999992</v>
      </c>
      <c r="N34" s="89">
        <v>0.25</v>
      </c>
      <c r="O34" s="86">
        <f>Q34*P34</f>
        <v>61844.459999999992</v>
      </c>
      <c r="P34" s="89">
        <v>0.25</v>
      </c>
      <c r="Q34" s="91">
        <f>'ORÇAMENTO GINÁSIO'!J814</f>
        <v>247377.83999999997</v>
      </c>
      <c r="R34" s="92">
        <f t="shared" si="2"/>
        <v>1</v>
      </c>
    </row>
    <row r="35" spans="1:18" x14ac:dyDescent="0.2">
      <c r="A35" s="79">
        <v>19</v>
      </c>
      <c r="B35" s="85" t="str">
        <f>'ORÇAMENTO GINÁSIO'!D815</f>
        <v>PPCI</v>
      </c>
      <c r="C35" s="86"/>
      <c r="D35" s="87"/>
      <c r="E35" s="86"/>
      <c r="F35" s="88"/>
      <c r="G35" s="86"/>
      <c r="H35" s="89"/>
      <c r="I35" s="86">
        <f>Q35*J35</f>
        <v>5170.2775000000001</v>
      </c>
      <c r="J35" s="89">
        <v>0.25</v>
      </c>
      <c r="K35" s="86">
        <f>Q35*L35</f>
        <v>5170.2775000000001</v>
      </c>
      <c r="L35" s="89">
        <v>0.25</v>
      </c>
      <c r="M35" s="86">
        <f>Q35*N35</f>
        <v>5170.2775000000001</v>
      </c>
      <c r="N35" s="89">
        <v>0.25</v>
      </c>
      <c r="O35" s="86">
        <f>Q35*P35</f>
        <v>5170.2775000000001</v>
      </c>
      <c r="P35" s="89">
        <v>0.25</v>
      </c>
      <c r="Q35" s="91">
        <f>'ORÇAMENTO GINÁSIO'!J829</f>
        <v>20681.11</v>
      </c>
      <c r="R35" s="92">
        <f t="shared" si="2"/>
        <v>1</v>
      </c>
    </row>
    <row r="36" spans="1:18" x14ac:dyDescent="0.2">
      <c r="A36" s="183" t="s">
        <v>1135</v>
      </c>
      <c r="B36" s="182"/>
      <c r="C36" s="93">
        <f>SUM(C32:C35)</f>
        <v>271705.71499999997</v>
      </c>
      <c r="D36" s="94">
        <f>(C36/$Q$36)</f>
        <v>0.23231887080594377</v>
      </c>
      <c r="E36" s="93">
        <f>SUM(E32:E35)</f>
        <v>271705.71499999997</v>
      </c>
      <c r="F36" s="94">
        <f>E36/$Q$36</f>
        <v>0.23231887080594377</v>
      </c>
      <c r="G36" s="93">
        <f>SUM(G32:G35)</f>
        <v>179033.73999999996</v>
      </c>
      <c r="H36" s="94">
        <f>G36/$Q$36</f>
        <v>0.15308075618860251</v>
      </c>
      <c r="I36" s="93">
        <f>SUM(I32:I35)</f>
        <v>246048.47749999995</v>
      </c>
      <c r="J36" s="94">
        <f>I36/$Q$36</f>
        <v>0.21038094269132931</v>
      </c>
      <c r="K36" s="93">
        <f>SUM(K32:K35)</f>
        <v>67014.737499999988</v>
      </c>
      <c r="L36" s="94">
        <f>K36/$Q$36</f>
        <v>5.7300186502726794E-2</v>
      </c>
      <c r="M36" s="93">
        <f>SUM(M32:M35)</f>
        <v>67014.737499999988</v>
      </c>
      <c r="N36" s="94">
        <f>M36/$Q$36</f>
        <v>5.7300186502726794E-2</v>
      </c>
      <c r="O36" s="93">
        <f>SUM(O32:O35)</f>
        <v>67014.737499999988</v>
      </c>
      <c r="P36" s="94">
        <f>O36/$Q$36</f>
        <v>5.7300186502726794E-2</v>
      </c>
      <c r="Q36" s="95">
        <f>SUM(Q32:Q35)</f>
        <v>1169537.8600000001</v>
      </c>
      <c r="R36" s="96">
        <f>Q36/O37</f>
        <v>1.0000000000000002</v>
      </c>
    </row>
    <row r="37" spans="1:18" x14ac:dyDescent="0.2">
      <c r="A37" s="183" t="s">
        <v>1136</v>
      </c>
      <c r="B37" s="182"/>
      <c r="C37" s="93">
        <f>C36</f>
        <v>271705.71499999997</v>
      </c>
      <c r="D37" s="94">
        <f>D36</f>
        <v>0.23231887080594377</v>
      </c>
      <c r="E37" s="93">
        <f t="shared" ref="E37" si="3">C37+E36</f>
        <v>543411.42999999993</v>
      </c>
      <c r="F37" s="94">
        <f t="shared" ref="F37" si="4">D37+F36</f>
        <v>0.46463774161188753</v>
      </c>
      <c r="G37" s="93">
        <f t="shared" ref="G37" si="5">E37+G36</f>
        <v>722445.16999999993</v>
      </c>
      <c r="H37" s="94">
        <f t="shared" ref="H37" si="6">F37+H36</f>
        <v>0.61771849780049004</v>
      </c>
      <c r="I37" s="93">
        <f t="shared" ref="I37" si="7">G37+I36</f>
        <v>968493.64749999985</v>
      </c>
      <c r="J37" s="94">
        <f t="shared" ref="J37" si="8">H37+J36</f>
        <v>0.82809944049181938</v>
      </c>
      <c r="K37" s="93">
        <f t="shared" ref="K37" si="9">I37+K36</f>
        <v>1035508.3849999998</v>
      </c>
      <c r="L37" s="94">
        <f t="shared" ref="L37" si="10">J37+L36</f>
        <v>0.88539962699454622</v>
      </c>
      <c r="M37" s="93">
        <f t="shared" ref="M37" si="11">K37+M36</f>
        <v>1102523.1224999998</v>
      </c>
      <c r="N37" s="94">
        <f t="shared" ref="N37" si="12">L37+N36</f>
        <v>0.94269981349727305</v>
      </c>
      <c r="O37" s="93">
        <f t="shared" ref="O37" si="13">M37+O36</f>
        <v>1169537.8599999999</v>
      </c>
      <c r="P37" s="94">
        <f t="shared" ref="P37" si="14">N37+P36</f>
        <v>0.99999999999999989</v>
      </c>
      <c r="Q37" s="97"/>
      <c r="R37" s="98"/>
    </row>
    <row r="38" spans="1:18" ht="12.75" customHeight="1" x14ac:dyDescent="0.2">
      <c r="A38" s="147" t="s">
        <v>635</v>
      </c>
      <c r="B38" s="148"/>
      <c r="C38" s="148"/>
      <c r="D38" s="148"/>
      <c r="E38" s="148"/>
      <c r="F38" s="148"/>
      <c r="G38" s="148"/>
      <c r="H38" s="148"/>
      <c r="I38" s="148"/>
      <c r="J38" s="148"/>
      <c r="K38" s="148"/>
      <c r="L38" s="189"/>
      <c r="M38" s="186" t="s">
        <v>1137</v>
      </c>
      <c r="N38" s="187"/>
      <c r="O38" s="187"/>
      <c r="P38" s="187"/>
      <c r="Q38" s="187"/>
      <c r="R38" s="188"/>
    </row>
    <row r="39" spans="1:18" ht="24.75" customHeight="1" x14ac:dyDescent="0.2">
      <c r="A39" s="149"/>
      <c r="B39" s="150"/>
      <c r="C39" s="150"/>
      <c r="D39" s="150"/>
      <c r="E39" s="99"/>
      <c r="F39" s="99"/>
      <c r="G39" s="99"/>
      <c r="H39" s="99"/>
      <c r="I39" s="99"/>
      <c r="J39" s="99"/>
      <c r="K39" s="99"/>
      <c r="L39" s="101"/>
      <c r="M39" s="108"/>
      <c r="N39" s="101"/>
      <c r="O39" s="99"/>
      <c r="P39" s="101"/>
      <c r="Q39" s="101"/>
      <c r="R39" s="102"/>
    </row>
    <row r="40" spans="1:18" x14ac:dyDescent="0.2">
      <c r="A40" s="151"/>
      <c r="B40" s="152"/>
      <c r="C40" s="152"/>
      <c r="D40" s="152"/>
      <c r="E40" s="100"/>
      <c r="F40" s="100"/>
      <c r="G40" s="100"/>
      <c r="H40" s="100"/>
      <c r="I40" s="100"/>
      <c r="J40" s="100"/>
      <c r="K40" s="100"/>
      <c r="L40" s="100"/>
      <c r="M40" s="109"/>
      <c r="N40" s="100"/>
      <c r="O40" s="100"/>
      <c r="P40" s="100"/>
      <c r="Q40" s="100"/>
      <c r="R40" s="103"/>
    </row>
    <row r="41" spans="1:18" x14ac:dyDescent="0.2">
      <c r="A41" s="151"/>
      <c r="B41" s="152"/>
      <c r="C41" s="152"/>
      <c r="D41" s="152"/>
      <c r="E41" s="100"/>
      <c r="F41" s="100"/>
      <c r="G41" s="100"/>
      <c r="H41" s="100"/>
      <c r="I41" s="100"/>
      <c r="J41" s="100"/>
      <c r="K41" s="100"/>
      <c r="L41" s="100"/>
      <c r="M41" s="109"/>
      <c r="N41" s="100"/>
      <c r="O41" s="100"/>
      <c r="P41" s="100"/>
      <c r="Q41" s="100"/>
      <c r="R41" s="103"/>
    </row>
    <row r="42" spans="1:18" ht="11.25" customHeight="1" x14ac:dyDescent="0.2">
      <c r="A42" s="104"/>
      <c r="B42" s="100"/>
      <c r="C42" s="100"/>
      <c r="D42" s="100"/>
      <c r="E42" s="100"/>
      <c r="F42" s="100"/>
      <c r="G42" s="100"/>
      <c r="H42" s="100"/>
      <c r="I42" s="100"/>
      <c r="J42" s="100"/>
      <c r="K42" s="100"/>
      <c r="L42" s="100"/>
      <c r="M42" s="109"/>
      <c r="N42" s="100"/>
      <c r="O42" s="100"/>
      <c r="P42" s="100"/>
      <c r="Q42" s="100"/>
      <c r="R42" s="103"/>
    </row>
    <row r="43" spans="1:18" ht="30.75" customHeight="1" thickBot="1" x14ac:dyDescent="0.25">
      <c r="A43" s="105"/>
      <c r="B43" s="106"/>
      <c r="C43" s="106"/>
      <c r="D43" s="106"/>
      <c r="E43" s="106"/>
      <c r="F43" s="106"/>
      <c r="G43" s="106"/>
      <c r="H43" s="106"/>
      <c r="I43" s="106"/>
      <c r="J43" s="106"/>
      <c r="K43" s="106"/>
      <c r="L43" s="106"/>
      <c r="M43" s="110"/>
      <c r="N43" s="106"/>
      <c r="O43" s="106"/>
      <c r="P43" s="106"/>
      <c r="Q43" s="106"/>
      <c r="R43" s="107"/>
    </row>
  </sheetData>
  <mergeCells count="43">
    <mergeCell ref="A41:D41"/>
    <mergeCell ref="A29:A31"/>
    <mergeCell ref="B29:B31"/>
    <mergeCell ref="C29:P29"/>
    <mergeCell ref="Q29:R30"/>
    <mergeCell ref="C30:D30"/>
    <mergeCell ref="E30:F30"/>
    <mergeCell ref="G30:H30"/>
    <mergeCell ref="I30:J30"/>
    <mergeCell ref="K30:L30"/>
    <mergeCell ref="O30:P30"/>
    <mergeCell ref="A36:B36"/>
    <mergeCell ref="A37:B37"/>
    <mergeCell ref="A9:A11"/>
    <mergeCell ref="B9:B11"/>
    <mergeCell ref="C9:P9"/>
    <mergeCell ref="A27:B27"/>
    <mergeCell ref="A28:B28"/>
    <mergeCell ref="A39:D39"/>
    <mergeCell ref="A40:D40"/>
    <mergeCell ref="M30:N30"/>
    <mergeCell ref="M38:R38"/>
    <mergeCell ref="A38:L38"/>
    <mergeCell ref="Q9:R10"/>
    <mergeCell ref="C10:D10"/>
    <mergeCell ref="E10:F10"/>
    <mergeCell ref="G10:H10"/>
    <mergeCell ref="I10:J10"/>
    <mergeCell ref="K10:L10"/>
    <mergeCell ref="M10:N10"/>
    <mergeCell ref="O10:P10"/>
    <mergeCell ref="A8:P8"/>
    <mergeCell ref="A1:P1"/>
    <mergeCell ref="Q1:R1"/>
    <mergeCell ref="A2:P2"/>
    <mergeCell ref="Q2:R2"/>
    <mergeCell ref="A3:P4"/>
    <mergeCell ref="Q3:R4"/>
    <mergeCell ref="A5:P6"/>
    <mergeCell ref="Q5:R5"/>
    <mergeCell ref="Q6:R7"/>
    <mergeCell ref="A7:F7"/>
    <mergeCell ref="G7:P7"/>
  </mergeCells>
  <pageMargins left="0.25" right="0.25" top="0.75" bottom="0.75" header="0.3" footer="0.3"/>
  <pageSetup paperSize="9" scale="6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ORÇAMENTO GINÁSIO</vt:lpstr>
      <vt:lpstr>Cronograma Físico-Financeiro</vt:lpstr>
      <vt:lpstr>'Cronograma Físico-Financeiro'!Area_de_impressao</vt:lpstr>
      <vt:lpstr>'ORÇAMENTO GINÁSIO'!Area_de_impressao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engenharia3</dc:creator>
  <cp:lastModifiedBy>engenharia3</cp:lastModifiedBy>
  <cp:lastPrinted>2026-06-09T18:31:15Z</cp:lastPrinted>
  <dcterms:created xsi:type="dcterms:W3CDTF">2026-05-22T18:18:30Z</dcterms:created>
  <dcterms:modified xsi:type="dcterms:W3CDTF">2026-06-09T18:31:20Z</dcterms:modified>
</cp:coreProperties>
</file>